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900" windowWidth="19395" windowHeight="7140"/>
  </bookViews>
  <sheets>
    <sheet name="МО Небыловское блок.заст" sheetId="2" r:id="rId1"/>
    <sheet name="МО Небыловское" sheetId="1" r:id="rId2"/>
  </sheets>
  <definedNames>
    <definedName name="_xlnm._FilterDatabase" localSheetId="1" hidden="1">'МО Небыловское'!#REF!</definedName>
    <definedName name="_xlnm._FilterDatabase" localSheetId="0" hidden="1">'МО Небыловское блок.заст'!#REF!</definedName>
    <definedName name="TABLE" localSheetId="1">#REF!</definedName>
    <definedName name="TABLE" localSheetId="0">#REF!</definedName>
    <definedName name="TABLE">#REF!</definedName>
  </definedNames>
  <calcPr calcId="145621"/>
</workbook>
</file>

<file path=xl/calcChain.xml><?xml version="1.0" encoding="utf-8"?>
<calcChain xmlns="http://schemas.openxmlformats.org/spreadsheetml/2006/main">
  <c r="ADU14" i="2" l="1"/>
  <c r="ACU14" i="2"/>
  <c r="ACN14" i="2"/>
  <c r="ACR14" i="2" s="1"/>
  <c r="AAH14" i="2"/>
  <c r="YK14" i="2"/>
  <c r="XO14" i="2"/>
  <c r="XP14" i="2" s="1"/>
  <c r="XM14" i="2"/>
  <c r="XF14" i="2"/>
  <c r="XD14" i="2" s="1"/>
  <c r="TQ14" i="2"/>
  <c r="UA14" i="2" s="1"/>
  <c r="TD14" i="2"/>
  <c r="RX14" i="2"/>
  <c r="QM14" i="2"/>
  <c r="QK14" i="2" s="1"/>
  <c r="OK14" i="2"/>
  <c r="OF14" i="2"/>
  <c r="ML14" i="2"/>
  <c r="MN14" i="2" s="1"/>
  <c r="MF14" i="2"/>
  <c r="MH14" i="2" s="1"/>
  <c r="MI14" i="2" s="1"/>
  <c r="LZ14" i="2"/>
  <c r="MB14" i="2" s="1"/>
  <c r="MC14" i="2" s="1"/>
  <c r="LV14" i="2"/>
  <c r="LT14" i="2"/>
  <c r="LF14" i="2"/>
  <c r="KN14" i="2"/>
  <c r="II14" i="2"/>
  <c r="HU14" i="2"/>
  <c r="HE14" i="2"/>
  <c r="HA14" i="2"/>
  <c r="GW14" i="2"/>
  <c r="GR14" i="2"/>
  <c r="GP14" i="2"/>
  <c r="FV14" i="2"/>
  <c r="FX14" i="2" s="1"/>
  <c r="FT14" i="2"/>
  <c r="FE14" i="2"/>
  <c r="EP14" i="2"/>
  <c r="DM14" i="2"/>
  <c r="CW14" i="2"/>
  <c r="CH14" i="2"/>
  <c r="BR14" i="2"/>
  <c r="BN14" i="2"/>
  <c r="BD14" i="2"/>
  <c r="AZ14" i="2"/>
  <c r="BA14" i="2" s="1"/>
  <c r="AW14" i="2"/>
  <c r="AV14" i="2"/>
  <c r="BH14" i="2" s="1"/>
  <c r="AT14" i="2"/>
  <c r="AM14" i="2"/>
  <c r="AK14" i="2"/>
  <c r="X14" i="2"/>
  <c r="Y14" i="2" s="1"/>
  <c r="V14" i="2"/>
  <c r="I14" i="2"/>
  <c r="AAS14" i="2" s="1"/>
  <c r="ADU13" i="2"/>
  <c r="ACU13" i="2"/>
  <c r="ACN13" i="2"/>
  <c r="AAH13" i="2"/>
  <c r="YK13" i="2"/>
  <c r="XO13" i="2"/>
  <c r="XP13" i="2" s="1"/>
  <c r="XM13" i="2"/>
  <c r="XF13" i="2"/>
  <c r="XD13" i="2" s="1"/>
  <c r="TQ13" i="2"/>
  <c r="UA13" i="2" s="1"/>
  <c r="TD13" i="2"/>
  <c r="RX13" i="2"/>
  <c r="QM13" i="2"/>
  <c r="QK13" i="2" s="1"/>
  <c r="OK13" i="2"/>
  <c r="OF13" i="2"/>
  <c r="MN13" i="2"/>
  <c r="MO13" i="2" s="1"/>
  <c r="ML13" i="2"/>
  <c r="MF13" i="2"/>
  <c r="MH13" i="2" s="1"/>
  <c r="MI13" i="2" s="1"/>
  <c r="LZ13" i="2"/>
  <c r="MB13" i="2" s="1"/>
  <c r="MC13" i="2" s="1"/>
  <c r="LT13" i="2"/>
  <c r="LV13" i="2" s="1"/>
  <c r="LF13" i="2"/>
  <c r="II13" i="2"/>
  <c r="HE13" i="2"/>
  <c r="HA13" i="2"/>
  <c r="GW13" i="2"/>
  <c r="GR13" i="2"/>
  <c r="GP13" i="2"/>
  <c r="GS13" i="2" s="1"/>
  <c r="FV13" i="2"/>
  <c r="FT13" i="2"/>
  <c r="FE13" i="2"/>
  <c r="FG13" i="2" s="1"/>
  <c r="EP13" i="2"/>
  <c r="ER13" i="2" s="1"/>
  <c r="DM13" i="2"/>
  <c r="DO13" i="2" s="1"/>
  <c r="CW13" i="2"/>
  <c r="CH13" i="2"/>
  <c r="BR13" i="2"/>
  <c r="BN13" i="2"/>
  <c r="BD13" i="2"/>
  <c r="AZ13" i="2"/>
  <c r="BA13" i="2" s="1"/>
  <c r="AW13" i="2"/>
  <c r="AV13" i="2"/>
  <c r="BH13" i="2" s="1"/>
  <c r="AT13" i="2"/>
  <c r="AK13" i="2"/>
  <c r="AM13" i="2" s="1"/>
  <c r="AI13" i="2"/>
  <c r="X13" i="2"/>
  <c r="AC13" i="2" s="1"/>
  <c r="V13" i="2"/>
  <c r="J13" i="2"/>
  <c r="KB13" i="2" s="1"/>
  <c r="KC13" i="2" s="1"/>
  <c r="I13" i="2"/>
  <c r="ZA13" i="2" s="1"/>
  <c r="ADU12" i="2"/>
  <c r="ACU12" i="2"/>
  <c r="ACN12" i="2"/>
  <c r="AAH12" i="2"/>
  <c r="YK12" i="2"/>
  <c r="XO12" i="2"/>
  <c r="XP12" i="2" s="1"/>
  <c r="XM12" i="2"/>
  <c r="XF12" i="2"/>
  <c r="XD12" i="2" s="1"/>
  <c r="TQ12" i="2"/>
  <c r="UA12" i="2" s="1"/>
  <c r="TD12" i="2"/>
  <c r="SD12" i="2"/>
  <c r="RX12" i="2"/>
  <c r="QU12" i="2"/>
  <c r="OK12" i="2"/>
  <c r="OF12" i="2"/>
  <c r="ML12" i="2"/>
  <c r="MN12" i="2" s="1"/>
  <c r="MO12" i="2" s="1"/>
  <c r="MF12" i="2"/>
  <c r="MH12" i="2" s="1"/>
  <c r="MI12" i="2" s="1"/>
  <c r="MB12" i="2"/>
  <c r="MC12" i="2" s="1"/>
  <c r="LZ12" i="2"/>
  <c r="LT12" i="2"/>
  <c r="LV12" i="2" s="1"/>
  <c r="LF12" i="2"/>
  <c r="KT12" i="2"/>
  <c r="KN12" i="2"/>
  <c r="KC12" i="2"/>
  <c r="II12" i="2"/>
  <c r="HU12" i="2"/>
  <c r="HE12" i="2"/>
  <c r="HA12" i="2"/>
  <c r="GW12" i="2"/>
  <c r="GR12" i="2"/>
  <c r="GP12" i="2"/>
  <c r="GH12" i="2"/>
  <c r="FV12" i="2"/>
  <c r="FX12" i="2" s="1"/>
  <c r="FT12" i="2"/>
  <c r="FQ12" i="2"/>
  <c r="FE12" i="2"/>
  <c r="FG12" i="2" s="1"/>
  <c r="FB12" i="2"/>
  <c r="EP12" i="2"/>
  <c r="EM12" i="2"/>
  <c r="DY12" i="2"/>
  <c r="DM12" i="2"/>
  <c r="DJ12" i="2"/>
  <c r="CW12" i="2"/>
  <c r="CT12" i="2"/>
  <c r="CH12" i="2"/>
  <c r="CD12" i="2"/>
  <c r="BR12" i="2"/>
  <c r="BN12" i="2"/>
  <c r="BD12" i="2"/>
  <c r="AZ12" i="2"/>
  <c r="BA12" i="2" s="1"/>
  <c r="AW12" i="2"/>
  <c r="AV12" i="2"/>
  <c r="BH12" i="2" s="1"/>
  <c r="AT12" i="2"/>
  <c r="AK12" i="2"/>
  <c r="AM12" i="2" s="1"/>
  <c r="X12" i="2"/>
  <c r="AC12" i="2" s="1"/>
  <c r="V12" i="2"/>
  <c r="I12" i="2"/>
  <c r="ZA12" i="2" s="1"/>
  <c r="ADU11" i="2"/>
  <c r="ACU11" i="2"/>
  <c r="ACN11" i="2"/>
  <c r="AEB11" i="2" s="1"/>
  <c r="AAH11" i="2"/>
  <c r="YK11" i="2"/>
  <c r="XO11" i="2"/>
  <c r="XP11" i="2" s="1"/>
  <c r="XM11" i="2"/>
  <c r="XF11" i="2"/>
  <c r="XD11" i="2" s="1"/>
  <c r="TQ11" i="2"/>
  <c r="UA11" i="2" s="1"/>
  <c r="TD11" i="2"/>
  <c r="RX11" i="2"/>
  <c r="QM11" i="2"/>
  <c r="QK11" i="2" s="1"/>
  <c r="OK11" i="2"/>
  <c r="OF11" i="2"/>
  <c r="MN11" i="2"/>
  <c r="MO11" i="2" s="1"/>
  <c r="ML11" i="2"/>
  <c r="MF11" i="2"/>
  <c r="MH11" i="2" s="1"/>
  <c r="MI11" i="2" s="1"/>
  <c r="LZ11" i="2"/>
  <c r="MB11" i="2" s="1"/>
  <c r="MC11" i="2" s="1"/>
  <c r="LT11" i="2"/>
  <c r="LV11" i="2" s="1"/>
  <c r="LF11" i="2"/>
  <c r="II11" i="2"/>
  <c r="HE11" i="2"/>
  <c r="HA11" i="2"/>
  <c r="GW11" i="2"/>
  <c r="GR11" i="2"/>
  <c r="GP11" i="2"/>
  <c r="GS11" i="2" s="1"/>
  <c r="FV11" i="2"/>
  <c r="FT11" i="2"/>
  <c r="FE11" i="2"/>
  <c r="FG11" i="2" s="1"/>
  <c r="EP11" i="2"/>
  <c r="ER11" i="2" s="1"/>
  <c r="DM11" i="2"/>
  <c r="DO11" i="2" s="1"/>
  <c r="CW11" i="2"/>
  <c r="CH11" i="2"/>
  <c r="BR11" i="2"/>
  <c r="BN11" i="2"/>
  <c r="BD11" i="2"/>
  <c r="AZ11" i="2"/>
  <c r="BA11" i="2" s="1"/>
  <c r="AW11" i="2"/>
  <c r="AV11" i="2"/>
  <c r="BH11" i="2" s="1"/>
  <c r="AT11" i="2"/>
  <c r="AK11" i="2"/>
  <c r="AM11" i="2" s="1"/>
  <c r="X11" i="2"/>
  <c r="AC11" i="2" s="1"/>
  <c r="V11" i="2"/>
  <c r="I11" i="2"/>
  <c r="ZA11" i="2" s="1"/>
  <c r="ADU10" i="2"/>
  <c r="ACU10" i="2"/>
  <c r="ACN10" i="2"/>
  <c r="AEB10" i="2" s="1"/>
  <c r="AAH10" i="2"/>
  <c r="YK10" i="2"/>
  <c r="XO10" i="2"/>
  <c r="XP10" i="2" s="1"/>
  <c r="XM10" i="2"/>
  <c r="XF10" i="2"/>
  <c r="XD10" i="2"/>
  <c r="XC10" i="2"/>
  <c r="TQ10" i="2"/>
  <c r="QU10" i="2" s="1"/>
  <c r="TD10" i="2"/>
  <c r="RX10" i="2"/>
  <c r="OK10" i="2"/>
  <c r="OF10" i="2"/>
  <c r="ML10" i="2"/>
  <c r="MN10" i="2" s="1"/>
  <c r="MH10" i="2"/>
  <c r="MI10" i="2" s="1"/>
  <c r="MF10" i="2"/>
  <c r="LZ10" i="2"/>
  <c r="MB10" i="2" s="1"/>
  <c r="MC10" i="2" s="1"/>
  <c r="LT10" i="2"/>
  <c r="LV10" i="2" s="1"/>
  <c r="MP10" i="2" s="1"/>
  <c r="MQ10" i="2" s="1"/>
  <c r="LF10" i="2"/>
  <c r="KN10" i="2"/>
  <c r="II10" i="2"/>
  <c r="HU10" i="2"/>
  <c r="HE10" i="2"/>
  <c r="HA10" i="2"/>
  <c r="GW10" i="2"/>
  <c r="GR10" i="2"/>
  <c r="GP10" i="2"/>
  <c r="FV10" i="2"/>
  <c r="FX10" i="2" s="1"/>
  <c r="FT10" i="2"/>
  <c r="FE10" i="2"/>
  <c r="EP10" i="2"/>
  <c r="DM10" i="2"/>
  <c r="CW10" i="2"/>
  <c r="CH10" i="2"/>
  <c r="BR10" i="2"/>
  <c r="BN10" i="2"/>
  <c r="BD10" i="2"/>
  <c r="AZ10" i="2"/>
  <c r="BA10" i="2" s="1"/>
  <c r="AW10" i="2"/>
  <c r="AV10" i="2"/>
  <c r="BH10" i="2" s="1"/>
  <c r="AT10" i="2"/>
  <c r="AK10" i="2"/>
  <c r="AM10" i="2" s="1"/>
  <c r="Y10" i="2"/>
  <c r="X10" i="2"/>
  <c r="AC10" i="2" s="1"/>
  <c r="V10" i="2"/>
  <c r="I10" i="2"/>
  <c r="AAS10" i="2" s="1"/>
  <c r="IN7" i="2"/>
  <c r="ADU60" i="1"/>
  <c r="ACU60" i="1"/>
  <c r="ACN60" i="1"/>
  <c r="ACR60" i="1" s="1"/>
  <c r="AAH60" i="1"/>
  <c r="YK60" i="1"/>
  <c r="XO60" i="1"/>
  <c r="XP60" i="1" s="1"/>
  <c r="XM60" i="1"/>
  <c r="XF60" i="1"/>
  <c r="XD60" i="1" s="1"/>
  <c r="TQ60" i="1"/>
  <c r="UA60" i="1" s="1"/>
  <c r="TD60" i="1"/>
  <c r="RX60" i="1"/>
  <c r="QM60" i="1"/>
  <c r="QK60" i="1" s="1"/>
  <c r="OK60" i="1"/>
  <c r="OF60" i="1"/>
  <c r="OB60" i="1"/>
  <c r="ML60" i="1"/>
  <c r="MN60" i="1" s="1"/>
  <c r="MH60" i="1"/>
  <c r="MI60" i="1" s="1"/>
  <c r="MF60" i="1"/>
  <c r="LZ60" i="1"/>
  <c r="MB60" i="1" s="1"/>
  <c r="MC60" i="1" s="1"/>
  <c r="LT60" i="1"/>
  <c r="LV60" i="1" s="1"/>
  <c r="LF60" i="1"/>
  <c r="KN60" i="1"/>
  <c r="KC60" i="1"/>
  <c r="II60" i="1"/>
  <c r="HD60" i="1"/>
  <c r="HE60" i="1" s="1"/>
  <c r="HA60" i="1"/>
  <c r="GZ60" i="1"/>
  <c r="GV60" i="1"/>
  <c r="GW60" i="1" s="1"/>
  <c r="GQ60" i="1"/>
  <c r="GR60" i="1" s="1"/>
  <c r="GP60" i="1"/>
  <c r="BR60" i="1"/>
  <c r="BN60" i="1"/>
  <c r="BD60" i="1"/>
  <c r="AZ60" i="1"/>
  <c r="BA60" i="1" s="1"/>
  <c r="AW60" i="1"/>
  <c r="AV60" i="1"/>
  <c r="BH60" i="1" s="1"/>
  <c r="AT60" i="1"/>
  <c r="AK60" i="1"/>
  <c r="AM60" i="1" s="1"/>
  <c r="AA60" i="1"/>
  <c r="AB60" i="1" s="1"/>
  <c r="X60" i="1"/>
  <c r="Y60" i="1" s="1"/>
  <c r="S60" i="1"/>
  <c r="AC60" i="1" s="1"/>
  <c r="Q60" i="1"/>
  <c r="I60" i="1"/>
  <c r="R60" i="1" s="1"/>
  <c r="ADU59" i="1"/>
  <c r="ACY59" i="1"/>
  <c r="ACU59" i="1"/>
  <c r="ACR59" i="1"/>
  <c r="ACN59" i="1"/>
  <c r="AEB59" i="1" s="1"/>
  <c r="AAH59" i="1"/>
  <c r="YK59" i="1"/>
  <c r="XP59" i="1"/>
  <c r="XO59" i="1"/>
  <c r="XM59" i="1"/>
  <c r="XF59" i="1"/>
  <c r="XD59" i="1" s="1"/>
  <c r="XC59" i="1"/>
  <c r="TQ59" i="1"/>
  <c r="UA59" i="1" s="1"/>
  <c r="TD59" i="1"/>
  <c r="RX59" i="1"/>
  <c r="QU59" i="1"/>
  <c r="QM59" i="1"/>
  <c r="QK59" i="1"/>
  <c r="OK59" i="1"/>
  <c r="OF59" i="1"/>
  <c r="OB59" i="1"/>
  <c r="NZ59" i="1"/>
  <c r="ML59" i="1"/>
  <c r="MN59" i="1" s="1"/>
  <c r="MF59" i="1"/>
  <c r="MH59" i="1" s="1"/>
  <c r="MI59" i="1" s="1"/>
  <c r="MB59" i="1"/>
  <c r="MC59" i="1" s="1"/>
  <c r="LZ59" i="1"/>
  <c r="LT59" i="1"/>
  <c r="LV59" i="1" s="1"/>
  <c r="LF59" i="1"/>
  <c r="II59" i="1"/>
  <c r="HD59" i="1"/>
  <c r="HE59" i="1" s="1"/>
  <c r="HA59" i="1"/>
  <c r="GZ59" i="1"/>
  <c r="GV59" i="1"/>
  <c r="GQ59" i="1"/>
  <c r="GR59" i="1" s="1"/>
  <c r="GP59" i="1"/>
  <c r="BR59" i="1"/>
  <c r="BN59" i="1"/>
  <c r="BD59" i="1"/>
  <c r="AZ59" i="1"/>
  <c r="BA59" i="1" s="1"/>
  <c r="AW59" i="1"/>
  <c r="AV59" i="1"/>
  <c r="BH59" i="1" s="1"/>
  <c r="AT59" i="1"/>
  <c r="AK59" i="1"/>
  <c r="AM59" i="1" s="1"/>
  <c r="AA59" i="1"/>
  <c r="AB59" i="1" s="1"/>
  <c r="X59" i="1"/>
  <c r="AC59" i="1" s="1"/>
  <c r="V59" i="1"/>
  <c r="Q59" i="1"/>
  <c r="I59" i="1"/>
  <c r="ADU58" i="1"/>
  <c r="ACY58" i="1"/>
  <c r="ACU58" i="1"/>
  <c r="ACN58" i="1"/>
  <c r="AEB58" i="1" s="1"/>
  <c r="AAH58" i="1"/>
  <c r="YK58" i="1"/>
  <c r="XO58" i="1"/>
  <c r="XP58" i="1" s="1"/>
  <c r="XM58" i="1"/>
  <c r="XF58" i="1"/>
  <c r="XD58" i="1" s="1"/>
  <c r="XC58" i="1"/>
  <c r="TQ58" i="1"/>
  <c r="UA58" i="1" s="1"/>
  <c r="TD58" i="1"/>
  <c r="RX58" i="1"/>
  <c r="QU58" i="1"/>
  <c r="QM58" i="1"/>
  <c r="QK58" i="1"/>
  <c r="OK58" i="1"/>
  <c r="OF58" i="1"/>
  <c r="OB58" i="1"/>
  <c r="NZ58" i="1"/>
  <c r="NW58" i="1"/>
  <c r="ML58" i="1"/>
  <c r="MN58" i="1" s="1"/>
  <c r="VI58" i="1" s="1"/>
  <c r="MF58" i="1"/>
  <c r="MH58" i="1" s="1"/>
  <c r="MI58" i="1" s="1"/>
  <c r="LZ58" i="1"/>
  <c r="MB58" i="1" s="1"/>
  <c r="MC58" i="1" s="1"/>
  <c r="LT58" i="1"/>
  <c r="LV58" i="1" s="1"/>
  <c r="LF58" i="1"/>
  <c r="KN58" i="1"/>
  <c r="KC58" i="1"/>
  <c r="II58" i="1"/>
  <c r="HD58" i="1"/>
  <c r="HE58" i="1" s="1"/>
  <c r="GZ58" i="1"/>
  <c r="GV58" i="1"/>
  <c r="GW58" i="1" s="1"/>
  <c r="GQ58" i="1"/>
  <c r="GR58" i="1" s="1"/>
  <c r="GS58" i="1" s="1"/>
  <c r="GP58" i="1"/>
  <c r="FV58" i="1"/>
  <c r="FX58" i="1" s="1"/>
  <c r="FT58" i="1"/>
  <c r="FE58" i="1"/>
  <c r="FG58" i="1" s="1"/>
  <c r="EP58" i="1"/>
  <c r="ER58" i="1" s="1"/>
  <c r="DM58" i="1"/>
  <c r="DO58" i="1" s="1"/>
  <c r="CW58" i="1"/>
  <c r="CY58" i="1" s="1"/>
  <c r="CH58" i="1"/>
  <c r="CJ58" i="1" s="1"/>
  <c r="BR58" i="1"/>
  <c r="BN58" i="1"/>
  <c r="BD58" i="1"/>
  <c r="AZ58" i="1"/>
  <c r="BA58" i="1" s="1"/>
  <c r="AW58" i="1"/>
  <c r="AV58" i="1"/>
  <c r="BH58" i="1" s="1"/>
  <c r="AT58" i="1"/>
  <c r="AK58" i="1"/>
  <c r="AM58" i="1" s="1"/>
  <c r="AA58" i="1"/>
  <c r="AB58" i="1" s="1"/>
  <c r="X58" i="1"/>
  <c r="Y58" i="1" s="1"/>
  <c r="V58" i="1"/>
  <c r="Q58" i="1"/>
  <c r="I58" i="1"/>
  <c r="WM58" i="1" s="1"/>
  <c r="WN58" i="1" s="1"/>
  <c r="ADU57" i="1"/>
  <c r="ACU57" i="1"/>
  <c r="ACN57" i="1"/>
  <c r="AEB57" i="1" s="1"/>
  <c r="AAH57" i="1"/>
  <c r="YK57" i="1"/>
  <c r="XO57" i="1"/>
  <c r="XP57" i="1" s="1"/>
  <c r="XM57" i="1"/>
  <c r="XF57" i="1"/>
  <c r="XD57" i="1" s="1"/>
  <c r="TQ57" i="1"/>
  <c r="UA57" i="1" s="1"/>
  <c r="TD57" i="1"/>
  <c r="RX57" i="1"/>
  <c r="QM57" i="1"/>
  <c r="QK57" i="1" s="1"/>
  <c r="OK57" i="1"/>
  <c r="OF57" i="1"/>
  <c r="OB57" i="1"/>
  <c r="NZ57" i="1"/>
  <c r="NW57" i="1"/>
  <c r="ML57" i="1"/>
  <c r="MN57" i="1" s="1"/>
  <c r="MH57" i="1"/>
  <c r="MI57" i="1" s="1"/>
  <c r="MF57" i="1"/>
  <c r="LZ57" i="1"/>
  <c r="MB57" i="1" s="1"/>
  <c r="MC57" i="1" s="1"/>
  <c r="LT57" i="1"/>
  <c r="LV57" i="1" s="1"/>
  <c r="LF57" i="1"/>
  <c r="II57" i="1"/>
  <c r="HD57" i="1"/>
  <c r="HE57" i="1" s="1"/>
  <c r="HA57" i="1"/>
  <c r="GZ57" i="1"/>
  <c r="GV57" i="1"/>
  <c r="GQ57" i="1"/>
  <c r="GR57" i="1" s="1"/>
  <c r="GP57" i="1"/>
  <c r="BR57" i="1"/>
  <c r="BN57" i="1"/>
  <c r="BD57" i="1"/>
  <c r="AZ57" i="1"/>
  <c r="BA57" i="1" s="1"/>
  <c r="AW57" i="1"/>
  <c r="AV57" i="1"/>
  <c r="BH57" i="1" s="1"/>
  <c r="AT57" i="1"/>
  <c r="AK57" i="1"/>
  <c r="AM57" i="1" s="1"/>
  <c r="AA57" i="1"/>
  <c r="AB57" i="1" s="1"/>
  <c r="X57" i="1"/>
  <c r="AC57" i="1" s="1"/>
  <c r="V57" i="1"/>
  <c r="Q57" i="1"/>
  <c r="I57" i="1"/>
  <c r="WT57" i="1" s="1"/>
  <c r="ADU56" i="1"/>
  <c r="ACY56" i="1"/>
  <c r="ACU56" i="1"/>
  <c r="ACN56" i="1"/>
  <c r="AEB56" i="1" s="1"/>
  <c r="AAH56" i="1"/>
  <c r="YK56" i="1"/>
  <c r="XO56" i="1"/>
  <c r="XP56" i="1" s="1"/>
  <c r="XM56" i="1"/>
  <c r="XF56" i="1"/>
  <c r="XD56" i="1" s="1"/>
  <c r="TQ56" i="1"/>
  <c r="UA56" i="1" s="1"/>
  <c r="TD56" i="1"/>
  <c r="RX56" i="1"/>
  <c r="QM56" i="1"/>
  <c r="QK56" i="1" s="1"/>
  <c r="OK56" i="1"/>
  <c r="OF56" i="1"/>
  <c r="OB56" i="1"/>
  <c r="NZ56" i="1"/>
  <c r="MN56" i="1"/>
  <c r="MO56" i="1" s="1"/>
  <c r="ML56" i="1"/>
  <c r="MF56" i="1"/>
  <c r="MH56" i="1" s="1"/>
  <c r="MI56" i="1" s="1"/>
  <c r="LZ56" i="1"/>
  <c r="MB56" i="1" s="1"/>
  <c r="MC56" i="1" s="1"/>
  <c r="LT56" i="1"/>
  <c r="LV56" i="1" s="1"/>
  <c r="LF56" i="1"/>
  <c r="II56" i="1"/>
  <c r="HD56" i="1"/>
  <c r="HE56" i="1" s="1"/>
  <c r="GZ56" i="1"/>
  <c r="GV56" i="1"/>
  <c r="GQ56" i="1"/>
  <c r="GR56" i="1" s="1"/>
  <c r="GS56" i="1" s="1"/>
  <c r="GP56" i="1"/>
  <c r="BR56" i="1"/>
  <c r="BN56" i="1"/>
  <c r="BD56" i="1"/>
  <c r="AZ56" i="1"/>
  <c r="BA56" i="1" s="1"/>
  <c r="AW56" i="1"/>
  <c r="AV56" i="1"/>
  <c r="BH56" i="1" s="1"/>
  <c r="AT56" i="1"/>
  <c r="AK56" i="1"/>
  <c r="AM56" i="1" s="1"/>
  <c r="AA56" i="1"/>
  <c r="AB56" i="1" s="1"/>
  <c r="X56" i="1"/>
  <c r="AC56" i="1" s="1"/>
  <c r="V56" i="1"/>
  <c r="Q56" i="1"/>
  <c r="I56" i="1"/>
  <c r="WT56" i="1" s="1"/>
  <c r="ADU55" i="1"/>
  <c r="ACU55" i="1"/>
  <c r="ACN55" i="1"/>
  <c r="ACR55" i="1" s="1"/>
  <c r="AAH55" i="1"/>
  <c r="YK55" i="1"/>
  <c r="XO55" i="1"/>
  <c r="XP55" i="1" s="1"/>
  <c r="XM55" i="1"/>
  <c r="XF55" i="1"/>
  <c r="XD55" i="1" s="1"/>
  <c r="XC55" i="1"/>
  <c r="WT55" i="1"/>
  <c r="WN55" i="1"/>
  <c r="WM55" i="1"/>
  <c r="VM55" i="1"/>
  <c r="YE55" i="1" s="1"/>
  <c r="VB55" i="1"/>
  <c r="YM55" i="1" s="1"/>
  <c r="UO55" i="1"/>
  <c r="UQ55" i="1" s="1"/>
  <c r="UN55" i="1"/>
  <c r="UD55" i="1"/>
  <c r="UC55" i="1"/>
  <c r="TQ55" i="1"/>
  <c r="UA55" i="1" s="1"/>
  <c r="TM55" i="1"/>
  <c r="TD55" i="1"/>
  <c r="SZ55" i="1"/>
  <c r="SX55" i="1"/>
  <c r="RX55" i="1"/>
  <c r="RY55" i="1" s="1"/>
  <c r="RU55" i="1"/>
  <c r="UI55" i="1" s="1"/>
  <c r="UJ55" i="1" s="1"/>
  <c r="PE55" i="1"/>
  <c r="PB55" i="1"/>
  <c r="PC55" i="1" s="1"/>
  <c r="OU55" i="1"/>
  <c r="OY55" i="1" s="1"/>
  <c r="OW55" i="1" s="1"/>
  <c r="OO55" i="1"/>
  <c r="OR55" i="1" s="1"/>
  <c r="OK55" i="1"/>
  <c r="OL55" i="1" s="1"/>
  <c r="OJ55" i="1"/>
  <c r="OS55" i="1" s="1"/>
  <c r="OF55" i="1"/>
  <c r="OE55" i="1"/>
  <c r="OB55" i="1"/>
  <c r="OC55" i="1" s="1"/>
  <c r="NZ55" i="1"/>
  <c r="OA55" i="1" s="1"/>
  <c r="AAY55" i="1" s="1"/>
  <c r="ADH55" i="1" s="1"/>
  <c r="NW55" i="1"/>
  <c r="NX55" i="1" s="1"/>
  <c r="NV55" i="1"/>
  <c r="NT55" i="1"/>
  <c r="ABG55" i="1" s="1"/>
  <c r="ADK55" i="1" s="1"/>
  <c r="NQ55" i="1"/>
  <c r="VG55" i="1" s="1"/>
  <c r="XZ55" i="1" s="1"/>
  <c r="NO55" i="1"/>
  <c r="NM55" i="1"/>
  <c r="ZF55" i="1" s="1"/>
  <c r="NJ55" i="1"/>
  <c r="NK55" i="1" s="1"/>
  <c r="NG55" i="1"/>
  <c r="NE55" i="1"/>
  <c r="ABB55" i="1" s="1"/>
  <c r="ADN55" i="1" s="1"/>
  <c r="NB55" i="1"/>
  <c r="VE55" i="1" s="1"/>
  <c r="YC55" i="1" s="1"/>
  <c r="MZ55" i="1"/>
  <c r="MX55" i="1"/>
  <c r="ZD55" i="1" s="1"/>
  <c r="MU55" i="1"/>
  <c r="MV55" i="1" s="1"/>
  <c r="MN55" i="1"/>
  <c r="VI55" i="1" s="1"/>
  <c r="ML55" i="1"/>
  <c r="MF55" i="1"/>
  <c r="MH55" i="1" s="1"/>
  <c r="MI55" i="1" s="1"/>
  <c r="LZ55" i="1"/>
  <c r="MB55" i="1" s="1"/>
  <c r="MC55" i="1" s="1"/>
  <c r="LT55" i="1"/>
  <c r="LV55" i="1" s="1"/>
  <c r="LQ55" i="1"/>
  <c r="AAZ55" i="1" s="1"/>
  <c r="ADI55" i="1" s="1"/>
  <c r="LO55" i="1"/>
  <c r="AAX55" i="1" s="1"/>
  <c r="ADG55" i="1" s="1"/>
  <c r="LF55" i="1"/>
  <c r="LG55" i="1" s="1"/>
  <c r="KT55" i="1"/>
  <c r="KU55" i="1" s="1"/>
  <c r="KV55" i="1" s="1"/>
  <c r="KR55" i="1"/>
  <c r="KN55" i="1"/>
  <c r="KK55" i="1"/>
  <c r="KG55" i="1"/>
  <c r="KC55" i="1"/>
  <c r="JN55" i="1"/>
  <c r="JO55" i="1" s="1"/>
  <c r="JL55" i="1"/>
  <c r="IZ55" i="1"/>
  <c r="JA55" i="1" s="1"/>
  <c r="IX55" i="1"/>
  <c r="II55" i="1"/>
  <c r="IJ55" i="1" s="1"/>
  <c r="HX55" i="1"/>
  <c r="HZ55" i="1" s="1"/>
  <c r="IA55" i="1" s="1"/>
  <c r="IB55" i="1" s="1"/>
  <c r="HT55" i="1"/>
  <c r="HU55" i="1" s="1"/>
  <c r="HP55" i="1"/>
  <c r="HR55" i="1" s="1"/>
  <c r="HN55" i="1"/>
  <c r="HJ55" i="1"/>
  <c r="HL55" i="1" s="1"/>
  <c r="HK55" i="1" s="1"/>
  <c r="HD55" i="1"/>
  <c r="HE55" i="1" s="1"/>
  <c r="HF55" i="1" s="1"/>
  <c r="HA55" i="1"/>
  <c r="HB55" i="1" s="1"/>
  <c r="GZ55" i="1"/>
  <c r="AAS55" i="1" s="1"/>
  <c r="GV55" i="1"/>
  <c r="GW55" i="1" s="1"/>
  <c r="GX55" i="1" s="1"/>
  <c r="GQ55" i="1"/>
  <c r="GR55" i="1" s="1"/>
  <c r="GP55" i="1"/>
  <c r="VA55" i="1" s="1"/>
  <c r="GH55" i="1"/>
  <c r="GI55" i="1" s="1"/>
  <c r="GJ55" i="1" s="1"/>
  <c r="GF55" i="1"/>
  <c r="FV55" i="1"/>
  <c r="FT55" i="1"/>
  <c r="FQ55" i="1"/>
  <c r="FR55" i="1" s="1"/>
  <c r="FO55" i="1"/>
  <c r="FE55" i="1"/>
  <c r="FG55" i="1" s="1"/>
  <c r="FB55" i="1"/>
  <c r="FC55" i="1" s="1"/>
  <c r="EZ55" i="1"/>
  <c r="EP55" i="1"/>
  <c r="ER55" i="1" s="1"/>
  <c r="EM55" i="1"/>
  <c r="EN55" i="1" s="1"/>
  <c r="EK55" i="1"/>
  <c r="DZ55" i="1"/>
  <c r="DY55" i="1"/>
  <c r="DW55" i="1"/>
  <c r="DS55" i="1"/>
  <c r="DT55" i="1" s="1"/>
  <c r="DM55" i="1"/>
  <c r="DO55" i="1" s="1"/>
  <c r="DJ55" i="1"/>
  <c r="DK55" i="1" s="1"/>
  <c r="DH55" i="1"/>
  <c r="DC55" i="1"/>
  <c r="DD55" i="1" s="1"/>
  <c r="CW55" i="1"/>
  <c r="CY55" i="1" s="1"/>
  <c r="CU55" i="1"/>
  <c r="CT55" i="1"/>
  <c r="CR55" i="1"/>
  <c r="CH55" i="1"/>
  <c r="CJ55" i="1" s="1"/>
  <c r="CE55" i="1"/>
  <c r="CD55" i="1"/>
  <c r="CB55" i="1"/>
  <c r="SD55" i="1" s="1"/>
  <c r="BW55" i="1"/>
  <c r="BX55" i="1" s="1"/>
  <c r="BR55" i="1"/>
  <c r="BN55" i="1"/>
  <c r="BF55" i="1"/>
  <c r="BD55" i="1"/>
  <c r="BA55" i="1"/>
  <c r="AZ55" i="1"/>
  <c r="AY55" i="1"/>
  <c r="AW55" i="1"/>
  <c r="AV55" i="1"/>
  <c r="BH55" i="1" s="1"/>
  <c r="AT55" i="1"/>
  <c r="AM55" i="1"/>
  <c r="AK55" i="1"/>
  <c r="AA55" i="1"/>
  <c r="AB55" i="1" s="1"/>
  <c r="X55" i="1"/>
  <c r="Y55" i="1" s="1"/>
  <c r="V55" i="1"/>
  <c r="Q55" i="1"/>
  <c r="R55" i="1" s="1"/>
  <c r="O55" i="1"/>
  <c r="J55" i="1"/>
  <c r="JU55" i="1" s="1"/>
  <c r="JV55" i="1" s="1"/>
  <c r="ADU54" i="1"/>
  <c r="ACU54" i="1"/>
  <c r="ACN54" i="1"/>
  <c r="ACR54" i="1" s="1"/>
  <c r="AAH54" i="1"/>
  <c r="YK54" i="1"/>
  <c r="XO54" i="1"/>
  <c r="XF54" i="1"/>
  <c r="XD54" i="1"/>
  <c r="XC54" i="1"/>
  <c r="TQ54" i="1"/>
  <c r="QU54" i="1" s="1"/>
  <c r="TD54" i="1"/>
  <c r="RX54" i="1"/>
  <c r="OK54" i="1"/>
  <c r="OF54" i="1"/>
  <c r="ML54" i="1"/>
  <c r="MN54" i="1" s="1"/>
  <c r="MH54" i="1"/>
  <c r="MI54" i="1" s="1"/>
  <c r="MF54" i="1"/>
  <c r="LZ54" i="1"/>
  <c r="MB54" i="1" s="1"/>
  <c r="MC54" i="1" s="1"/>
  <c r="LT54" i="1"/>
  <c r="LV54" i="1" s="1"/>
  <c r="LF54" i="1"/>
  <c r="II54" i="1"/>
  <c r="HD54" i="1"/>
  <c r="HE54" i="1" s="1"/>
  <c r="HF54" i="1" s="1"/>
  <c r="GZ54" i="1"/>
  <c r="GW54" i="1"/>
  <c r="GX54" i="1" s="1"/>
  <c r="GV54" i="1"/>
  <c r="GR54" i="1"/>
  <c r="GQ54" i="1"/>
  <c r="GP54" i="1"/>
  <c r="BR54" i="1"/>
  <c r="BN54" i="1"/>
  <c r="BD54" i="1"/>
  <c r="BA54" i="1"/>
  <c r="AZ54" i="1"/>
  <c r="AW54" i="1"/>
  <c r="AV54" i="1"/>
  <c r="BH54" i="1" s="1"/>
  <c r="AT54" i="1"/>
  <c r="AK54" i="1"/>
  <c r="AM54" i="1" s="1"/>
  <c r="AA54" i="1"/>
  <c r="AB54" i="1" s="1"/>
  <c r="X54" i="1"/>
  <c r="Y54" i="1" s="1"/>
  <c r="V54" i="1"/>
  <c r="Q54" i="1"/>
  <c r="I54" i="1"/>
  <c r="ADU53" i="1"/>
  <c r="ACU53" i="1"/>
  <c r="ACR53" i="1"/>
  <c r="ACN53" i="1"/>
  <c r="AEB53" i="1" s="1"/>
  <c r="AAH53" i="1"/>
  <c r="YK53" i="1"/>
  <c r="XP53" i="1"/>
  <c r="XO53" i="1"/>
  <c r="XM53" i="1"/>
  <c r="XF53" i="1"/>
  <c r="XD53" i="1" s="1"/>
  <c r="XC53" i="1"/>
  <c r="TQ53" i="1"/>
  <c r="UA53" i="1" s="1"/>
  <c r="TD53" i="1"/>
  <c r="RX53" i="1"/>
  <c r="QU53" i="1"/>
  <c r="QM53" i="1"/>
  <c r="QK53" i="1"/>
  <c r="OK53" i="1"/>
  <c r="OF53" i="1"/>
  <c r="ML53" i="1"/>
  <c r="MN53" i="1" s="1"/>
  <c r="MO53" i="1" s="1"/>
  <c r="MF53" i="1"/>
  <c r="MH53" i="1" s="1"/>
  <c r="MI53" i="1" s="1"/>
  <c r="MB53" i="1"/>
  <c r="MC53" i="1" s="1"/>
  <c r="LZ53" i="1"/>
  <c r="LT53" i="1"/>
  <c r="LV53" i="1" s="1"/>
  <c r="LF53" i="1"/>
  <c r="II53" i="1"/>
  <c r="HD53" i="1"/>
  <c r="HE53" i="1" s="1"/>
  <c r="HA53" i="1"/>
  <c r="GZ53" i="1"/>
  <c r="GV53" i="1"/>
  <c r="GQ53" i="1"/>
  <c r="GR53" i="1" s="1"/>
  <c r="GP53" i="1"/>
  <c r="BR53" i="1"/>
  <c r="BN53" i="1"/>
  <c r="BD53" i="1"/>
  <c r="AZ53" i="1"/>
  <c r="BA53" i="1" s="1"/>
  <c r="AW53" i="1"/>
  <c r="AV53" i="1"/>
  <c r="BH53" i="1" s="1"/>
  <c r="AT53" i="1"/>
  <c r="AK53" i="1"/>
  <c r="AM53" i="1" s="1"/>
  <c r="AA53" i="1"/>
  <c r="AB53" i="1" s="1"/>
  <c r="X53" i="1"/>
  <c r="Y53" i="1" s="1"/>
  <c r="V53" i="1"/>
  <c r="I53" i="1"/>
  <c r="ADU52" i="1"/>
  <c r="ACY52" i="1"/>
  <c r="ACU52" i="1"/>
  <c r="ACN52" i="1"/>
  <c r="AEB52" i="1" s="1"/>
  <c r="AAH52" i="1"/>
  <c r="YK52" i="1"/>
  <c r="XO52" i="1"/>
  <c r="XP52" i="1" s="1"/>
  <c r="XM52" i="1"/>
  <c r="XF52" i="1"/>
  <c r="XD52" i="1" s="1"/>
  <c r="TD52" i="1"/>
  <c r="RX52" i="1"/>
  <c r="RT52" i="1"/>
  <c r="TQ52" i="1" s="1"/>
  <c r="OK52" i="1"/>
  <c r="OF52" i="1"/>
  <c r="ML52" i="1"/>
  <c r="MN52" i="1" s="1"/>
  <c r="MH52" i="1"/>
  <c r="MI52" i="1" s="1"/>
  <c r="MF52" i="1"/>
  <c r="LZ52" i="1"/>
  <c r="MB52" i="1" s="1"/>
  <c r="MC52" i="1" s="1"/>
  <c r="LT52" i="1"/>
  <c r="LV52" i="1" s="1"/>
  <c r="VH52" i="1" s="1"/>
  <c r="LF52" i="1"/>
  <c r="II52" i="1"/>
  <c r="HD52" i="1"/>
  <c r="HE52" i="1" s="1"/>
  <c r="HF52" i="1" s="1"/>
  <c r="GZ52" i="1"/>
  <c r="HA52" i="1" s="1"/>
  <c r="GW52" i="1"/>
  <c r="GV52" i="1"/>
  <c r="GR52" i="1"/>
  <c r="GQ52" i="1"/>
  <c r="GP52" i="1"/>
  <c r="FV52" i="1"/>
  <c r="FX52" i="1" s="1"/>
  <c r="FT52" i="1"/>
  <c r="FE52" i="1"/>
  <c r="EP52" i="1"/>
  <c r="DM52" i="1"/>
  <c r="CW52" i="1"/>
  <c r="CH52" i="1"/>
  <c r="BR52" i="1"/>
  <c r="BN52" i="1"/>
  <c r="BD52" i="1"/>
  <c r="AZ52" i="1"/>
  <c r="BA52" i="1" s="1"/>
  <c r="AW52" i="1"/>
  <c r="AV52" i="1"/>
  <c r="BH52" i="1" s="1"/>
  <c r="AT52" i="1"/>
  <c r="AK52" i="1"/>
  <c r="AM52" i="1" s="1"/>
  <c r="AB52" i="1"/>
  <c r="AA52" i="1"/>
  <c r="Y52" i="1"/>
  <c r="X52" i="1"/>
  <c r="AC52" i="1" s="1"/>
  <c r="V52" i="1"/>
  <c r="Q52" i="1"/>
  <c r="J52" i="1"/>
  <c r="JL52" i="1" s="1"/>
  <c r="I52" i="1"/>
  <c r="WT52" i="1" s="1"/>
  <c r="AEB51" i="1"/>
  <c r="ADU51" i="1"/>
  <c r="ACY51" i="1"/>
  <c r="ACU51" i="1"/>
  <c r="ACR51" i="1"/>
  <c r="ACN51" i="1"/>
  <c r="AAH51" i="1"/>
  <c r="YK51" i="1"/>
  <c r="XP51" i="1"/>
  <c r="XO51" i="1"/>
  <c r="XM51" i="1"/>
  <c r="XF51" i="1"/>
  <c r="XD51" i="1" s="1"/>
  <c r="XC51" i="1"/>
  <c r="TQ51" i="1"/>
  <c r="UA51" i="1" s="1"/>
  <c r="TD51" i="1"/>
  <c r="RX51" i="1"/>
  <c r="QM51" i="1"/>
  <c r="QK51" i="1" s="1"/>
  <c r="OK51" i="1"/>
  <c r="OF51" i="1"/>
  <c r="OB51" i="1"/>
  <c r="NZ51" i="1"/>
  <c r="MN51" i="1"/>
  <c r="MO51" i="1" s="1"/>
  <c r="ML51" i="1"/>
  <c r="MF51" i="1"/>
  <c r="MH51" i="1" s="1"/>
  <c r="MI51" i="1" s="1"/>
  <c r="LZ51" i="1"/>
  <c r="MB51" i="1" s="1"/>
  <c r="MC51" i="1" s="1"/>
  <c r="LT51" i="1"/>
  <c r="LV51" i="1" s="1"/>
  <c r="LF51" i="1"/>
  <c r="II51" i="1"/>
  <c r="HD51" i="1"/>
  <c r="HE51" i="1" s="1"/>
  <c r="GZ51" i="1"/>
  <c r="HA51" i="1" s="1"/>
  <c r="HB51" i="1" s="1"/>
  <c r="GV51" i="1"/>
  <c r="GQ51" i="1"/>
  <c r="GR51" i="1" s="1"/>
  <c r="GS51" i="1" s="1"/>
  <c r="GP51" i="1"/>
  <c r="BR51" i="1"/>
  <c r="BN51" i="1"/>
  <c r="BD51" i="1"/>
  <c r="AZ51" i="1"/>
  <c r="BA51" i="1" s="1"/>
  <c r="AW51" i="1"/>
  <c r="AV51" i="1"/>
  <c r="BH51" i="1" s="1"/>
  <c r="AT51" i="1"/>
  <c r="AM51" i="1"/>
  <c r="AK51" i="1"/>
  <c r="AA51" i="1"/>
  <c r="AB51" i="1" s="1"/>
  <c r="X51" i="1"/>
  <c r="Y51" i="1" s="1"/>
  <c r="V51" i="1"/>
  <c r="Q51" i="1"/>
  <c r="I51" i="1"/>
  <c r="WT51" i="1" s="1"/>
  <c r="ADU50" i="1"/>
  <c r="ACZ50" i="1"/>
  <c r="ACY50" i="1"/>
  <c r="ACU50" i="1"/>
  <c r="ACN50" i="1"/>
  <c r="AEB50" i="1" s="1"/>
  <c r="AAH50" i="1"/>
  <c r="YK50" i="1"/>
  <c r="XO50" i="1"/>
  <c r="XP50" i="1" s="1"/>
  <c r="XM50" i="1"/>
  <c r="XF50" i="1"/>
  <c r="XD50" i="1" s="1"/>
  <c r="TQ50" i="1"/>
  <c r="UA50" i="1" s="1"/>
  <c r="TD50" i="1"/>
  <c r="RX50" i="1"/>
  <c r="QM50" i="1"/>
  <c r="QK50" i="1" s="1"/>
  <c r="OK50" i="1"/>
  <c r="OF50" i="1"/>
  <c r="ML50" i="1"/>
  <c r="MN50" i="1" s="1"/>
  <c r="MF50" i="1"/>
  <c r="MH50" i="1" s="1"/>
  <c r="MI50" i="1" s="1"/>
  <c r="LZ50" i="1"/>
  <c r="MB50" i="1" s="1"/>
  <c r="MC50" i="1" s="1"/>
  <c r="LV50" i="1"/>
  <c r="LT50" i="1"/>
  <c r="LF50" i="1"/>
  <c r="II50" i="1"/>
  <c r="HE50" i="1"/>
  <c r="HD50" i="1"/>
  <c r="GZ50" i="1"/>
  <c r="HA50" i="1" s="1"/>
  <c r="GV50" i="1"/>
  <c r="GU50" i="1"/>
  <c r="GQ50" i="1"/>
  <c r="GR50" i="1" s="1"/>
  <c r="GP50" i="1"/>
  <c r="BR50" i="1"/>
  <c r="BN50" i="1"/>
  <c r="BD50" i="1"/>
  <c r="BA50" i="1"/>
  <c r="AZ50" i="1"/>
  <c r="AW50" i="1"/>
  <c r="AV50" i="1"/>
  <c r="BH50" i="1" s="1"/>
  <c r="AT50" i="1"/>
  <c r="AK50" i="1"/>
  <c r="AM50" i="1" s="1"/>
  <c r="AA50" i="1"/>
  <c r="AB50" i="1" s="1"/>
  <c r="X50" i="1"/>
  <c r="AC50" i="1" s="1"/>
  <c r="V50" i="1"/>
  <c r="Q50" i="1"/>
  <c r="I50" i="1"/>
  <c r="UC50" i="1" s="1"/>
  <c r="ADU49" i="1"/>
  <c r="ACU49" i="1"/>
  <c r="ACR49" i="1"/>
  <c r="ACN49" i="1"/>
  <c r="AEB49" i="1" s="1"/>
  <c r="AAH49" i="1"/>
  <c r="YK49" i="1"/>
  <c r="XP49" i="1"/>
  <c r="XO49" i="1"/>
  <c r="XM49" i="1"/>
  <c r="XF49" i="1"/>
  <c r="XD49" i="1" s="1"/>
  <c r="XC49" i="1"/>
  <c r="TQ49" i="1"/>
  <c r="UA49" i="1" s="1"/>
  <c r="TD49" i="1"/>
  <c r="RX49" i="1"/>
  <c r="QU49" i="1"/>
  <c r="QM49" i="1"/>
  <c r="QK49" i="1"/>
  <c r="OK49" i="1"/>
  <c r="OF49" i="1"/>
  <c r="OB49" i="1"/>
  <c r="NZ49" i="1"/>
  <c r="NW49" i="1"/>
  <c r="ML49" i="1"/>
  <c r="MN49" i="1" s="1"/>
  <c r="MF49" i="1"/>
  <c r="MH49" i="1" s="1"/>
  <c r="MI49" i="1" s="1"/>
  <c r="LZ49" i="1"/>
  <c r="MB49" i="1" s="1"/>
  <c r="MC49" i="1" s="1"/>
  <c r="LT49" i="1"/>
  <c r="LV49" i="1" s="1"/>
  <c r="LF49" i="1"/>
  <c r="II49" i="1"/>
  <c r="HE49" i="1"/>
  <c r="HD49" i="1"/>
  <c r="GZ49" i="1"/>
  <c r="GV49" i="1"/>
  <c r="GW49" i="1" s="1"/>
  <c r="GX49" i="1" s="1"/>
  <c r="GQ49" i="1"/>
  <c r="GR49" i="1" s="1"/>
  <c r="GP49" i="1"/>
  <c r="BR49" i="1"/>
  <c r="BN49" i="1"/>
  <c r="BD49" i="1"/>
  <c r="AZ49" i="1"/>
  <c r="BA49" i="1" s="1"/>
  <c r="AW49" i="1"/>
  <c r="AV49" i="1"/>
  <c r="BH49" i="1" s="1"/>
  <c r="AT49" i="1"/>
  <c r="AM49" i="1"/>
  <c r="AK49" i="1"/>
  <c r="AA49" i="1"/>
  <c r="AB49" i="1" s="1"/>
  <c r="X49" i="1"/>
  <c r="V49" i="1"/>
  <c r="Q49" i="1"/>
  <c r="I49" i="1"/>
  <c r="WM49" i="1" s="1"/>
  <c r="WN49" i="1" s="1"/>
  <c r="ADU48" i="1"/>
  <c r="ACU48" i="1"/>
  <c r="ACN48" i="1"/>
  <c r="AEB48" i="1" s="1"/>
  <c r="AAH48" i="1"/>
  <c r="YK48" i="1"/>
  <c r="XO48" i="1"/>
  <c r="XP48" i="1" s="1"/>
  <c r="XM48" i="1"/>
  <c r="XF48" i="1"/>
  <c r="XD48" i="1" s="1"/>
  <c r="TD48" i="1"/>
  <c r="RX48" i="1"/>
  <c r="RT48" i="1"/>
  <c r="TQ48" i="1" s="1"/>
  <c r="OK48" i="1"/>
  <c r="OF48" i="1"/>
  <c r="OB48" i="1"/>
  <c r="NZ48" i="1"/>
  <c r="NW48" i="1"/>
  <c r="MN48" i="1"/>
  <c r="ML48" i="1"/>
  <c r="MF48" i="1"/>
  <c r="MH48" i="1" s="1"/>
  <c r="MI48" i="1" s="1"/>
  <c r="LZ48" i="1"/>
  <c r="MB48" i="1" s="1"/>
  <c r="MC48" i="1" s="1"/>
  <c r="LT48" i="1"/>
  <c r="LV48" i="1" s="1"/>
  <c r="LF48" i="1"/>
  <c r="KN48" i="1"/>
  <c r="KC48" i="1"/>
  <c r="II48" i="1"/>
  <c r="HD48" i="1"/>
  <c r="HE48" i="1" s="1"/>
  <c r="GZ48" i="1"/>
  <c r="HA48" i="1" s="1"/>
  <c r="HB48" i="1" s="1"/>
  <c r="GV48" i="1"/>
  <c r="GQ48" i="1"/>
  <c r="GR48" i="1" s="1"/>
  <c r="GS48" i="1" s="1"/>
  <c r="GP48" i="1"/>
  <c r="FV48" i="1"/>
  <c r="FX48" i="1" s="1"/>
  <c r="FT48" i="1"/>
  <c r="FE48" i="1"/>
  <c r="FG48" i="1" s="1"/>
  <c r="EP48" i="1"/>
  <c r="ER48" i="1" s="1"/>
  <c r="DM48" i="1"/>
  <c r="DO48" i="1" s="1"/>
  <c r="CW48" i="1"/>
  <c r="CH48" i="1"/>
  <c r="BR48" i="1"/>
  <c r="BN48" i="1"/>
  <c r="BD48" i="1"/>
  <c r="AZ48" i="1"/>
  <c r="BA48" i="1" s="1"/>
  <c r="AW48" i="1"/>
  <c r="AV48" i="1"/>
  <c r="BH48" i="1" s="1"/>
  <c r="AT48" i="1"/>
  <c r="AK48" i="1"/>
  <c r="AM48" i="1" s="1"/>
  <c r="AA48" i="1"/>
  <c r="AB48" i="1" s="1"/>
  <c r="X48" i="1"/>
  <c r="AC48" i="1" s="1"/>
  <c r="V48" i="1"/>
  <c r="I48" i="1"/>
  <c r="WM48" i="1" s="1"/>
  <c r="WN48" i="1" s="1"/>
  <c r="ADU47" i="1"/>
  <c r="ACY47" i="1"/>
  <c r="ACU47" i="1"/>
  <c r="ACN47" i="1"/>
  <c r="AEB47" i="1" s="1"/>
  <c r="AAH47" i="1"/>
  <c r="YK47" i="1"/>
  <c r="XO47" i="1"/>
  <c r="XP47" i="1" s="1"/>
  <c r="XM47" i="1"/>
  <c r="XF47" i="1"/>
  <c r="XD47" i="1"/>
  <c r="XC47" i="1"/>
  <c r="WT47" i="1"/>
  <c r="WM47" i="1"/>
  <c r="WN47" i="1" s="1"/>
  <c r="VM47" i="1"/>
  <c r="YE47" i="1" s="1"/>
  <c r="VB47" i="1"/>
  <c r="YM47" i="1" s="1"/>
  <c r="UO47" i="1"/>
  <c r="UQ47" i="1" s="1"/>
  <c r="UN47" i="1"/>
  <c r="UC47" i="1"/>
  <c r="UD47" i="1" s="1"/>
  <c r="TQ47" i="1"/>
  <c r="UA47" i="1" s="1"/>
  <c r="TM47" i="1"/>
  <c r="TD47" i="1"/>
  <c r="SZ47" i="1"/>
  <c r="SX47" i="1"/>
  <c r="RY47" i="1"/>
  <c r="RX47" i="1"/>
  <c r="RU47" i="1"/>
  <c r="UI47" i="1" s="1"/>
  <c r="UJ47" i="1" s="1"/>
  <c r="QU47" i="1"/>
  <c r="QV47" i="1" s="1"/>
  <c r="QM47" i="1"/>
  <c r="QN47" i="1" s="1"/>
  <c r="QK47" i="1"/>
  <c r="QL47" i="1" s="1"/>
  <c r="QW47" i="1" s="1"/>
  <c r="QX47" i="1" s="1"/>
  <c r="TZ47" i="1" s="1"/>
  <c r="PE47" i="1"/>
  <c r="PB47" i="1"/>
  <c r="PC47" i="1" s="1"/>
  <c r="OU47" i="1"/>
  <c r="OY47" i="1" s="1"/>
  <c r="OW47" i="1" s="1"/>
  <c r="OR47" i="1"/>
  <c r="OO47" i="1"/>
  <c r="OK47" i="1"/>
  <c r="OL47" i="1" s="1"/>
  <c r="OM47" i="1" s="1"/>
  <c r="OJ47" i="1"/>
  <c r="OF47" i="1"/>
  <c r="OE47" i="1"/>
  <c r="OC47" i="1"/>
  <c r="OB47" i="1"/>
  <c r="OA47" i="1"/>
  <c r="AAY47" i="1" s="1"/>
  <c r="ADH47" i="1" s="1"/>
  <c r="NZ47" i="1"/>
  <c r="NW47" i="1"/>
  <c r="NX47" i="1" s="1"/>
  <c r="NV47" i="1"/>
  <c r="NT47" i="1"/>
  <c r="ABG47" i="1" s="1"/>
  <c r="ADK47" i="1" s="1"/>
  <c r="NQ47" i="1"/>
  <c r="VG47" i="1" s="1"/>
  <c r="XZ47" i="1" s="1"/>
  <c r="NO47" i="1"/>
  <c r="NM47" i="1"/>
  <c r="ZF47" i="1" s="1"/>
  <c r="NJ47" i="1"/>
  <c r="NK47" i="1" s="1"/>
  <c r="NG47" i="1"/>
  <c r="NE47" i="1"/>
  <c r="ABB47" i="1" s="1"/>
  <c r="ADN47" i="1" s="1"/>
  <c r="NB47" i="1"/>
  <c r="VE47" i="1" s="1"/>
  <c r="YC47" i="1" s="1"/>
  <c r="MZ47" i="1"/>
  <c r="MX47" i="1"/>
  <c r="ZD47" i="1" s="1"/>
  <c r="MU47" i="1"/>
  <c r="MV47" i="1" s="1"/>
  <c r="ML47" i="1"/>
  <c r="MN47" i="1" s="1"/>
  <c r="VI47" i="1" s="1"/>
  <c r="MF47" i="1"/>
  <c r="MH47" i="1" s="1"/>
  <c r="MI47" i="1" s="1"/>
  <c r="MB47" i="1"/>
  <c r="MC47" i="1" s="1"/>
  <c r="LZ47" i="1"/>
  <c r="LT47" i="1"/>
  <c r="LV47" i="1" s="1"/>
  <c r="LQ47" i="1"/>
  <c r="AAZ47" i="1" s="1"/>
  <c r="ADI47" i="1" s="1"/>
  <c r="LO47" i="1"/>
  <c r="AAX47" i="1" s="1"/>
  <c r="ADG47" i="1" s="1"/>
  <c r="LF47" i="1"/>
  <c r="LG47" i="1" s="1"/>
  <c r="KT47" i="1"/>
  <c r="KU47" i="1" s="1"/>
  <c r="KV47" i="1" s="1"/>
  <c r="KR47" i="1"/>
  <c r="KN47" i="1"/>
  <c r="KK47" i="1"/>
  <c r="KG47" i="1"/>
  <c r="KC47" i="1"/>
  <c r="JO47" i="1"/>
  <c r="JN47" i="1"/>
  <c r="JL47" i="1"/>
  <c r="IZ47" i="1"/>
  <c r="JA47" i="1" s="1"/>
  <c r="IX47" i="1"/>
  <c r="II47" i="1"/>
  <c r="IJ47" i="1" s="1"/>
  <c r="HZ47" i="1"/>
  <c r="IA47" i="1" s="1"/>
  <c r="IB47" i="1" s="1"/>
  <c r="HX47" i="1"/>
  <c r="HU47" i="1"/>
  <c r="HT47" i="1"/>
  <c r="HR47" i="1"/>
  <c r="HP47" i="1"/>
  <c r="HN47" i="1"/>
  <c r="HJ47" i="1"/>
  <c r="HL47" i="1" s="1"/>
  <c r="HK47" i="1" s="1"/>
  <c r="HD47" i="1"/>
  <c r="HE47" i="1" s="1"/>
  <c r="HF47" i="1" s="1"/>
  <c r="GZ47" i="1"/>
  <c r="AAS47" i="1" s="1"/>
  <c r="GV47" i="1"/>
  <c r="GW47" i="1" s="1"/>
  <c r="GX47" i="1" s="1"/>
  <c r="GQ47" i="1"/>
  <c r="GR47" i="1" s="1"/>
  <c r="GS47" i="1" s="1"/>
  <c r="GP47" i="1"/>
  <c r="GH47" i="1"/>
  <c r="GI47" i="1" s="1"/>
  <c r="GJ47" i="1" s="1"/>
  <c r="GF47" i="1"/>
  <c r="FV47" i="1"/>
  <c r="FT47" i="1"/>
  <c r="FR47" i="1"/>
  <c r="FQ47" i="1"/>
  <c r="FO47" i="1"/>
  <c r="FE47" i="1"/>
  <c r="FG47" i="1" s="1"/>
  <c r="FC47" i="1"/>
  <c r="FB47" i="1"/>
  <c r="EZ47" i="1"/>
  <c r="EP47" i="1"/>
  <c r="ER47" i="1" s="1"/>
  <c r="EN47" i="1"/>
  <c r="EM47" i="1"/>
  <c r="EK47" i="1"/>
  <c r="DY47" i="1"/>
  <c r="DZ47" i="1" s="1"/>
  <c r="DW47" i="1"/>
  <c r="DS47" i="1"/>
  <c r="DT47" i="1" s="1"/>
  <c r="DM47" i="1"/>
  <c r="DO47" i="1" s="1"/>
  <c r="DK47" i="1"/>
  <c r="DJ47" i="1"/>
  <c r="DH47" i="1"/>
  <c r="DC47" i="1"/>
  <c r="DD47" i="1" s="1"/>
  <c r="CW47" i="1"/>
  <c r="CY47" i="1" s="1"/>
  <c r="CT47" i="1"/>
  <c r="CU47" i="1" s="1"/>
  <c r="CR47" i="1"/>
  <c r="CH47" i="1"/>
  <c r="CJ47" i="1" s="1"/>
  <c r="CD47" i="1"/>
  <c r="CE47" i="1" s="1"/>
  <c r="CB47" i="1"/>
  <c r="BW47" i="1"/>
  <c r="BX47" i="1" s="1"/>
  <c r="BR47" i="1"/>
  <c r="BN47" i="1"/>
  <c r="BF47" i="1"/>
  <c r="BD47" i="1"/>
  <c r="AZ47" i="1"/>
  <c r="BA47" i="1" s="1"/>
  <c r="AY47" i="1"/>
  <c r="AW47" i="1"/>
  <c r="AV47" i="1"/>
  <c r="BH47" i="1" s="1"/>
  <c r="AT47" i="1"/>
  <c r="AK47" i="1"/>
  <c r="AM47" i="1" s="1"/>
  <c r="AA47" i="1"/>
  <c r="AB47" i="1" s="1"/>
  <c r="X47" i="1"/>
  <c r="Y47" i="1" s="1"/>
  <c r="V47" i="1"/>
  <c r="R47" i="1"/>
  <c r="O47" i="1"/>
  <c r="J47" i="1"/>
  <c r="JU47" i="1" s="1"/>
  <c r="JV47" i="1" s="1"/>
  <c r="ADU46" i="1"/>
  <c r="ACY46" i="1"/>
  <c r="ACU46" i="1"/>
  <c r="ACN46" i="1"/>
  <c r="AEB46" i="1" s="1"/>
  <c r="AAH46" i="1"/>
  <c r="YK46" i="1"/>
  <c r="XO46" i="1"/>
  <c r="XP46" i="1" s="1"/>
  <c r="XM46" i="1"/>
  <c r="XF46" i="1"/>
  <c r="XD46" i="1"/>
  <c r="XC46" i="1"/>
  <c r="TD46" i="1"/>
  <c r="RX46" i="1"/>
  <c r="RT46" i="1"/>
  <c r="TQ46" i="1" s="1"/>
  <c r="OK46" i="1"/>
  <c r="OF46" i="1"/>
  <c r="OB46" i="1"/>
  <c r="NZ46" i="1"/>
  <c r="NW46" i="1"/>
  <c r="MN46" i="1"/>
  <c r="ML46" i="1"/>
  <c r="MF46" i="1"/>
  <c r="MH46" i="1" s="1"/>
  <c r="MI46" i="1" s="1"/>
  <c r="LZ46" i="1"/>
  <c r="MB46" i="1" s="1"/>
  <c r="MC46" i="1" s="1"/>
  <c r="LT46" i="1"/>
  <c r="LV46" i="1" s="1"/>
  <c r="LF46" i="1"/>
  <c r="II46" i="1"/>
  <c r="HE46" i="1"/>
  <c r="HD46" i="1"/>
  <c r="GZ46" i="1"/>
  <c r="HA46" i="1" s="1"/>
  <c r="GV46" i="1"/>
  <c r="GW46" i="1" s="1"/>
  <c r="GX46" i="1" s="1"/>
  <c r="GQ46" i="1"/>
  <c r="GR46" i="1" s="1"/>
  <c r="GP46" i="1"/>
  <c r="FV46" i="1"/>
  <c r="FX46" i="1" s="1"/>
  <c r="FT46" i="1"/>
  <c r="FE46" i="1"/>
  <c r="FG46" i="1" s="1"/>
  <c r="EP46" i="1"/>
  <c r="ER46" i="1" s="1"/>
  <c r="DM46" i="1"/>
  <c r="DO46" i="1" s="1"/>
  <c r="CW46" i="1"/>
  <c r="CH46" i="1"/>
  <c r="BR46" i="1"/>
  <c r="BN46" i="1"/>
  <c r="BD46" i="1"/>
  <c r="AZ46" i="1"/>
  <c r="BA46" i="1" s="1"/>
  <c r="AW46" i="1"/>
  <c r="AV46" i="1"/>
  <c r="BH46" i="1" s="1"/>
  <c r="BS46" i="1" s="1"/>
  <c r="BT46" i="1" s="1"/>
  <c r="AT46" i="1"/>
  <c r="AK46" i="1"/>
  <c r="AM46" i="1" s="1"/>
  <c r="AB46" i="1"/>
  <c r="AA46" i="1"/>
  <c r="Y46" i="1"/>
  <c r="X46" i="1"/>
  <c r="AC46" i="1" s="1"/>
  <c r="V46" i="1"/>
  <c r="I46" i="1"/>
  <c r="KT46" i="1" s="1"/>
  <c r="KU46" i="1" s="1"/>
  <c r="KV46" i="1" s="1"/>
  <c r="ADU45" i="1"/>
  <c r="ACZ45" i="1"/>
  <c r="ACU45" i="1"/>
  <c r="ACN45" i="1"/>
  <c r="AEB45" i="1" s="1"/>
  <c r="AAH45" i="1"/>
  <c r="YK45" i="1"/>
  <c r="XP45" i="1"/>
  <c r="XO45" i="1"/>
  <c r="XM45" i="1"/>
  <c r="XF45" i="1"/>
  <c r="XD45" i="1" s="1"/>
  <c r="XC45" i="1"/>
  <c r="TD45" i="1"/>
  <c r="RX45" i="1"/>
  <c r="RT45" i="1"/>
  <c r="TQ45" i="1" s="1"/>
  <c r="OK45" i="1"/>
  <c r="OF45" i="1"/>
  <c r="ML45" i="1"/>
  <c r="MN45" i="1" s="1"/>
  <c r="MF45" i="1"/>
  <c r="MH45" i="1" s="1"/>
  <c r="MI45" i="1" s="1"/>
  <c r="LZ45" i="1"/>
  <c r="MB45" i="1" s="1"/>
  <c r="MC45" i="1" s="1"/>
  <c r="LV45" i="1"/>
  <c r="LT45" i="1"/>
  <c r="LF45" i="1"/>
  <c r="II45" i="1"/>
  <c r="HE45" i="1"/>
  <c r="HA45" i="1"/>
  <c r="GW45" i="1"/>
  <c r="GR45" i="1"/>
  <c r="GP45" i="1"/>
  <c r="BR45" i="1"/>
  <c r="BN45" i="1"/>
  <c r="BD45" i="1"/>
  <c r="AZ45" i="1"/>
  <c r="BA45" i="1" s="1"/>
  <c r="AW45" i="1"/>
  <c r="AV45" i="1"/>
  <c r="BH45" i="1" s="1"/>
  <c r="AT45" i="1"/>
  <c r="AK45" i="1"/>
  <c r="AM45" i="1" s="1"/>
  <c r="X45" i="1"/>
  <c r="AC45" i="1" s="1"/>
  <c r="V45" i="1"/>
  <c r="I45" i="1"/>
  <c r="AAS45" i="1" s="1"/>
  <c r="ADU44" i="1"/>
  <c r="ACU44" i="1"/>
  <c r="ACN44" i="1"/>
  <c r="AEB44" i="1" s="1"/>
  <c r="AAH44" i="1"/>
  <c r="YK44" i="1"/>
  <c r="XO44" i="1"/>
  <c r="XP44" i="1" s="1"/>
  <c r="XM44" i="1"/>
  <c r="XF44" i="1"/>
  <c r="XD44" i="1"/>
  <c r="XC44" i="1"/>
  <c r="TD44" i="1"/>
  <c r="RX44" i="1"/>
  <c r="RT44" i="1"/>
  <c r="TQ44" i="1" s="1"/>
  <c r="OK44" i="1"/>
  <c r="OF44" i="1"/>
  <c r="ML44" i="1"/>
  <c r="MN44" i="1" s="1"/>
  <c r="MH44" i="1"/>
  <c r="MI44" i="1" s="1"/>
  <c r="MF44" i="1"/>
  <c r="LZ44" i="1"/>
  <c r="MB44" i="1" s="1"/>
  <c r="MC44" i="1" s="1"/>
  <c r="LT44" i="1"/>
  <c r="LV44" i="1" s="1"/>
  <c r="LF44" i="1"/>
  <c r="II44" i="1"/>
  <c r="HE44" i="1"/>
  <c r="HA44" i="1"/>
  <c r="GW44" i="1"/>
  <c r="GR44" i="1"/>
  <c r="GP44" i="1"/>
  <c r="BR44" i="1"/>
  <c r="BN44" i="1"/>
  <c r="BD44" i="1"/>
  <c r="AZ44" i="1"/>
  <c r="BA44" i="1" s="1"/>
  <c r="AW44" i="1"/>
  <c r="AV44" i="1"/>
  <c r="BH44" i="1" s="1"/>
  <c r="AT44" i="1"/>
  <c r="AK44" i="1"/>
  <c r="AM44" i="1" s="1"/>
  <c r="X44" i="1"/>
  <c r="AC44" i="1" s="1"/>
  <c r="V44" i="1"/>
  <c r="I44" i="1"/>
  <c r="AAS44" i="1" s="1"/>
  <c r="ADU43" i="1"/>
  <c r="ACU43" i="1"/>
  <c r="ACR43" i="1"/>
  <c r="ACN43" i="1"/>
  <c r="AEB43" i="1" s="1"/>
  <c r="AAH43" i="1"/>
  <c r="YK43" i="1"/>
  <c r="XO43" i="1"/>
  <c r="XP43" i="1" s="1"/>
  <c r="XM43" i="1"/>
  <c r="XF43" i="1"/>
  <c r="XD43" i="1" s="1"/>
  <c r="TD43" i="1"/>
  <c r="RX43" i="1"/>
  <c r="RT43" i="1"/>
  <c r="TQ43" i="1" s="1"/>
  <c r="OK43" i="1"/>
  <c r="OF43" i="1"/>
  <c r="MN43" i="1"/>
  <c r="ML43" i="1"/>
  <c r="MF43" i="1"/>
  <c r="MH43" i="1" s="1"/>
  <c r="MI43" i="1" s="1"/>
  <c r="LZ43" i="1"/>
  <c r="MB43" i="1" s="1"/>
  <c r="MC43" i="1" s="1"/>
  <c r="LT43" i="1"/>
  <c r="LV43" i="1" s="1"/>
  <c r="LF43" i="1"/>
  <c r="II43" i="1"/>
  <c r="HU43" i="1"/>
  <c r="HE43" i="1"/>
  <c r="HA43" i="1"/>
  <c r="HB43" i="1" s="1"/>
  <c r="GW43" i="1"/>
  <c r="GR43" i="1"/>
  <c r="GP43" i="1"/>
  <c r="BR43" i="1"/>
  <c r="BN43" i="1"/>
  <c r="BD43" i="1"/>
  <c r="AZ43" i="1"/>
  <c r="BA43" i="1" s="1"/>
  <c r="AW43" i="1"/>
  <c r="AV43" i="1"/>
  <c r="BH43" i="1" s="1"/>
  <c r="AT43" i="1"/>
  <c r="AS43" i="1"/>
  <c r="AK43" i="1"/>
  <c r="AM43" i="1" s="1"/>
  <c r="AI43" i="1"/>
  <c r="X43" i="1"/>
  <c r="Y43" i="1" s="1"/>
  <c r="V43" i="1"/>
  <c r="R43" i="1"/>
  <c r="I43" i="1"/>
  <c r="ADU42" i="1"/>
  <c r="ACU42" i="1"/>
  <c r="ACN42" i="1"/>
  <c r="ACR42" i="1" s="1"/>
  <c r="AAH42" i="1"/>
  <c r="YK42" i="1"/>
  <c r="XO42" i="1"/>
  <c r="XP42" i="1" s="1"/>
  <c r="XM42" i="1"/>
  <c r="XF42" i="1"/>
  <c r="XD42" i="1" s="1"/>
  <c r="XC42" i="1"/>
  <c r="TD42" i="1"/>
  <c r="RX42" i="1"/>
  <c r="RT42" i="1"/>
  <c r="TQ42" i="1" s="1"/>
  <c r="OK42" i="1"/>
  <c r="ABS42" i="1" s="1"/>
  <c r="OF42" i="1"/>
  <c r="ML42" i="1"/>
  <c r="MN42" i="1" s="1"/>
  <c r="MF42" i="1"/>
  <c r="MH42" i="1" s="1"/>
  <c r="MI42" i="1" s="1"/>
  <c r="LZ42" i="1"/>
  <c r="MB42" i="1" s="1"/>
  <c r="MC42" i="1" s="1"/>
  <c r="LV42" i="1"/>
  <c r="LT42" i="1"/>
  <c r="LF42" i="1"/>
  <c r="II42" i="1"/>
  <c r="HD42" i="1"/>
  <c r="HE42" i="1" s="1"/>
  <c r="HF42" i="1" s="1"/>
  <c r="GZ42" i="1"/>
  <c r="GV42" i="1"/>
  <c r="GW42" i="1" s="1"/>
  <c r="GQ42" i="1"/>
  <c r="GR42" i="1" s="1"/>
  <c r="GS42" i="1" s="1"/>
  <c r="GP42" i="1"/>
  <c r="BR42" i="1"/>
  <c r="BN42" i="1"/>
  <c r="BD42" i="1"/>
  <c r="AZ42" i="1"/>
  <c r="BA42" i="1" s="1"/>
  <c r="AW42" i="1"/>
  <c r="AV42" i="1"/>
  <c r="BH42" i="1" s="1"/>
  <c r="ZB42" i="1" s="1"/>
  <c r="AT42" i="1"/>
  <c r="AS42" i="1"/>
  <c r="AK42" i="1"/>
  <c r="AM42" i="1" s="1"/>
  <c r="AI42" i="1"/>
  <c r="Y42" i="1"/>
  <c r="X42" i="1"/>
  <c r="AC42" i="1" s="1"/>
  <c r="V42" i="1"/>
  <c r="I42" i="1"/>
  <c r="WM42" i="1" s="1"/>
  <c r="WN42" i="1" s="1"/>
  <c r="ADU41" i="1"/>
  <c r="ACY41" i="1"/>
  <c r="ACU41" i="1"/>
  <c r="ACN41" i="1"/>
  <c r="AEB41" i="1" s="1"/>
  <c r="AAH41" i="1"/>
  <c r="YK41" i="1"/>
  <c r="XO41" i="1"/>
  <c r="XP41" i="1" s="1"/>
  <c r="XM41" i="1"/>
  <c r="XF41" i="1"/>
  <c r="XD41" i="1" s="1"/>
  <c r="XC41" i="1"/>
  <c r="TD41" i="1"/>
  <c r="RX41" i="1"/>
  <c r="RT41" i="1"/>
  <c r="TQ41" i="1" s="1"/>
  <c r="OK41" i="1"/>
  <c r="ABS41" i="1" s="1"/>
  <c r="OF41" i="1"/>
  <c r="MN41" i="1"/>
  <c r="VI41" i="1" s="1"/>
  <c r="ML41" i="1"/>
  <c r="MF41" i="1"/>
  <c r="MH41" i="1" s="1"/>
  <c r="MI41" i="1" s="1"/>
  <c r="LZ41" i="1"/>
  <c r="MB41" i="1" s="1"/>
  <c r="MC41" i="1" s="1"/>
  <c r="LT41" i="1"/>
  <c r="LV41" i="1" s="1"/>
  <c r="LF41" i="1"/>
  <c r="II41" i="1"/>
  <c r="HD41" i="1"/>
  <c r="HE41" i="1" s="1"/>
  <c r="GZ41" i="1"/>
  <c r="GV41" i="1"/>
  <c r="GW41" i="1" s="1"/>
  <c r="GQ41" i="1"/>
  <c r="GR41" i="1" s="1"/>
  <c r="GS41" i="1" s="1"/>
  <c r="GP41" i="1"/>
  <c r="BR41" i="1"/>
  <c r="BN41" i="1"/>
  <c r="BD41" i="1"/>
  <c r="AZ41" i="1"/>
  <c r="BA41" i="1" s="1"/>
  <c r="AW41" i="1"/>
  <c r="AV41" i="1"/>
  <c r="BH41" i="1" s="1"/>
  <c r="ZB41" i="1" s="1"/>
  <c r="AT41" i="1"/>
  <c r="AS41" i="1"/>
  <c r="AK41" i="1"/>
  <c r="AM41" i="1" s="1"/>
  <c r="AI41" i="1"/>
  <c r="Y41" i="1"/>
  <c r="X41" i="1"/>
  <c r="AC41" i="1" s="1"/>
  <c r="V41" i="1"/>
  <c r="I41" i="1"/>
  <c r="WM41" i="1" s="1"/>
  <c r="WN41" i="1" s="1"/>
  <c r="ADU40" i="1"/>
  <c r="ACZ40" i="1"/>
  <c r="ACY40" i="1"/>
  <c r="ACU40" i="1"/>
  <c r="ACR40" i="1"/>
  <c r="ACN40" i="1"/>
  <c r="AEB40" i="1" s="1"/>
  <c r="AAH40" i="1"/>
  <c r="YK40" i="1"/>
  <c r="XP40" i="1"/>
  <c r="XO40" i="1"/>
  <c r="XM40" i="1"/>
  <c r="XF40" i="1"/>
  <c r="XD40" i="1" s="1"/>
  <c r="XC40" i="1"/>
  <c r="TQ40" i="1"/>
  <c r="UA40" i="1" s="1"/>
  <c r="TD40" i="1"/>
  <c r="RX40" i="1"/>
  <c r="QU40" i="1"/>
  <c r="QM40" i="1"/>
  <c r="QK40" i="1"/>
  <c r="OK40" i="1"/>
  <c r="OF40" i="1"/>
  <c r="ML40" i="1"/>
  <c r="MN40" i="1" s="1"/>
  <c r="MO40" i="1" s="1"/>
  <c r="MF40" i="1"/>
  <c r="MH40" i="1" s="1"/>
  <c r="MI40" i="1" s="1"/>
  <c r="MB40" i="1"/>
  <c r="MC40" i="1" s="1"/>
  <c r="LZ40" i="1"/>
  <c r="LT40" i="1"/>
  <c r="LV40" i="1" s="1"/>
  <c r="LF40" i="1"/>
  <c r="II40" i="1"/>
  <c r="HD40" i="1"/>
  <c r="HE40" i="1" s="1"/>
  <c r="HA40" i="1"/>
  <c r="GZ40" i="1"/>
  <c r="GV40" i="1"/>
  <c r="GQ40" i="1"/>
  <c r="GR40" i="1" s="1"/>
  <c r="GP40" i="1"/>
  <c r="FV40" i="1"/>
  <c r="FT40" i="1"/>
  <c r="FE40" i="1"/>
  <c r="FG40" i="1" s="1"/>
  <c r="EP40" i="1"/>
  <c r="ER40" i="1" s="1"/>
  <c r="DM40" i="1"/>
  <c r="DO40" i="1" s="1"/>
  <c r="CW40" i="1"/>
  <c r="CH40" i="1"/>
  <c r="BR40" i="1"/>
  <c r="BN40" i="1"/>
  <c r="BD40" i="1"/>
  <c r="AZ40" i="1"/>
  <c r="BA40" i="1" s="1"/>
  <c r="AW40" i="1"/>
  <c r="AV40" i="1"/>
  <c r="BH40" i="1" s="1"/>
  <c r="AT40" i="1"/>
  <c r="AS40" i="1"/>
  <c r="AK40" i="1"/>
  <c r="AM40" i="1" s="1"/>
  <c r="AI40" i="1"/>
  <c r="X40" i="1"/>
  <c r="Y40" i="1" s="1"/>
  <c r="V40" i="1"/>
  <c r="J40" i="1"/>
  <c r="KB40" i="1" s="1"/>
  <c r="KC40" i="1" s="1"/>
  <c r="I40" i="1"/>
  <c r="WT40" i="1" s="1"/>
  <c r="ADU39" i="1"/>
  <c r="ACU39" i="1"/>
  <c r="ACN39" i="1"/>
  <c r="ACR39" i="1" s="1"/>
  <c r="AAH39" i="1"/>
  <c r="YK39" i="1"/>
  <c r="XO39" i="1"/>
  <c r="XP39" i="1" s="1"/>
  <c r="XM39" i="1"/>
  <c r="XF39" i="1"/>
  <c r="XD39" i="1" s="1"/>
  <c r="TD39" i="1"/>
  <c r="RX39" i="1"/>
  <c r="RT39" i="1"/>
  <c r="TQ39" i="1" s="1"/>
  <c r="OK39" i="1"/>
  <c r="OF39" i="1"/>
  <c r="ML39" i="1"/>
  <c r="MN39" i="1" s="1"/>
  <c r="MF39" i="1"/>
  <c r="MH39" i="1" s="1"/>
  <c r="MI39" i="1" s="1"/>
  <c r="LZ39" i="1"/>
  <c r="MB39" i="1" s="1"/>
  <c r="MC39" i="1" s="1"/>
  <c r="LT39" i="1"/>
  <c r="LV39" i="1" s="1"/>
  <c r="LF39" i="1"/>
  <c r="II39" i="1"/>
  <c r="HD39" i="1"/>
  <c r="HE39" i="1" s="1"/>
  <c r="GZ39" i="1"/>
  <c r="GV39" i="1"/>
  <c r="GW39" i="1" s="1"/>
  <c r="GQ39" i="1"/>
  <c r="GR39" i="1" s="1"/>
  <c r="GS39" i="1" s="1"/>
  <c r="GP39" i="1"/>
  <c r="FV39" i="1"/>
  <c r="FT39" i="1"/>
  <c r="FE39" i="1"/>
  <c r="FG39" i="1" s="1"/>
  <c r="EP39" i="1"/>
  <c r="ER39" i="1" s="1"/>
  <c r="DM39" i="1"/>
  <c r="DO39" i="1" s="1"/>
  <c r="CW39" i="1"/>
  <c r="CY39" i="1" s="1"/>
  <c r="CH39" i="1"/>
  <c r="CJ39" i="1" s="1"/>
  <c r="BR39" i="1"/>
  <c r="BN39" i="1"/>
  <c r="BD39" i="1"/>
  <c r="AZ39" i="1"/>
  <c r="BA39" i="1" s="1"/>
  <c r="AW39" i="1"/>
  <c r="AV39" i="1"/>
  <c r="BH39" i="1" s="1"/>
  <c r="AT39" i="1"/>
  <c r="AS39" i="1"/>
  <c r="AK39" i="1"/>
  <c r="AM39" i="1" s="1"/>
  <c r="X39" i="1"/>
  <c r="AC39" i="1" s="1"/>
  <c r="V39" i="1"/>
  <c r="J39" i="1"/>
  <c r="KB39" i="1" s="1"/>
  <c r="KC39" i="1" s="1"/>
  <c r="I39" i="1"/>
  <c r="WM39" i="1" s="1"/>
  <c r="WN39" i="1" s="1"/>
  <c r="ADU38" i="1"/>
  <c r="ACU38" i="1"/>
  <c r="ACN38" i="1"/>
  <c r="AEB38" i="1" s="1"/>
  <c r="AAH38" i="1"/>
  <c r="YK38" i="1"/>
  <c r="XO38" i="1"/>
  <c r="XP38" i="1" s="1"/>
  <c r="XM38" i="1"/>
  <c r="XF38" i="1"/>
  <c r="XD38" i="1" s="1"/>
  <c r="TD38" i="1"/>
  <c r="RX38" i="1"/>
  <c r="RT38" i="1"/>
  <c r="TQ38" i="1" s="1"/>
  <c r="OK38" i="1"/>
  <c r="OF38" i="1"/>
  <c r="ML38" i="1"/>
  <c r="MN38" i="1" s="1"/>
  <c r="MF38" i="1"/>
  <c r="MH38" i="1" s="1"/>
  <c r="MI38" i="1" s="1"/>
  <c r="MB38" i="1"/>
  <c r="MC38" i="1" s="1"/>
  <c r="LZ38" i="1"/>
  <c r="LT38" i="1"/>
  <c r="LV38" i="1" s="1"/>
  <c r="LF38" i="1"/>
  <c r="II38" i="1"/>
  <c r="HD38" i="1"/>
  <c r="HE38" i="1" s="1"/>
  <c r="HA38" i="1"/>
  <c r="GZ38" i="1"/>
  <c r="GV38" i="1"/>
  <c r="GQ38" i="1"/>
  <c r="GR38" i="1" s="1"/>
  <c r="GP38" i="1"/>
  <c r="BR38" i="1"/>
  <c r="BN38" i="1"/>
  <c r="BD38" i="1"/>
  <c r="AZ38" i="1"/>
  <c r="BA38" i="1" s="1"/>
  <c r="AW38" i="1"/>
  <c r="AV38" i="1"/>
  <c r="BH38" i="1" s="1"/>
  <c r="AT38" i="1"/>
  <c r="AK38" i="1"/>
  <c r="AM38" i="1" s="1"/>
  <c r="AI38" i="1"/>
  <c r="X38" i="1"/>
  <c r="Y38" i="1" s="1"/>
  <c r="V38" i="1"/>
  <c r="I38" i="1"/>
  <c r="DL38" i="1" s="1"/>
  <c r="DM38" i="1" s="1"/>
  <c r="DO38" i="1" s="1"/>
  <c r="ADU37" i="1"/>
  <c r="ACU37" i="1"/>
  <c r="ACN37" i="1"/>
  <c r="ACR37" i="1" s="1"/>
  <c r="AAH37" i="1"/>
  <c r="YK37" i="1"/>
  <c r="XO37" i="1"/>
  <c r="XP37" i="1" s="1"/>
  <c r="XM37" i="1"/>
  <c r="XF37" i="1"/>
  <c r="XD37" i="1" s="1"/>
  <c r="XC37" i="1"/>
  <c r="TD37" i="1"/>
  <c r="RX37" i="1"/>
  <c r="RT37" i="1"/>
  <c r="TQ37" i="1" s="1"/>
  <c r="OK37" i="1"/>
  <c r="OF37" i="1"/>
  <c r="MN37" i="1"/>
  <c r="ML37" i="1"/>
  <c r="MF37" i="1"/>
  <c r="MH37" i="1" s="1"/>
  <c r="MI37" i="1" s="1"/>
  <c r="LZ37" i="1"/>
  <c r="MB37" i="1" s="1"/>
  <c r="MC37" i="1" s="1"/>
  <c r="LT37" i="1"/>
  <c r="LV37" i="1" s="1"/>
  <c r="LF37" i="1"/>
  <c r="II37" i="1"/>
  <c r="HD37" i="1"/>
  <c r="HE37" i="1" s="1"/>
  <c r="GZ37" i="1"/>
  <c r="HA37" i="1" s="1"/>
  <c r="HB37" i="1" s="1"/>
  <c r="GV37" i="1"/>
  <c r="GW37" i="1" s="1"/>
  <c r="GQ37" i="1"/>
  <c r="GR37" i="1" s="1"/>
  <c r="GS37" i="1" s="1"/>
  <c r="GP37" i="1"/>
  <c r="BR37" i="1"/>
  <c r="BN37" i="1"/>
  <c r="BD37" i="1"/>
  <c r="AZ37" i="1"/>
  <c r="BA37" i="1" s="1"/>
  <c r="AW37" i="1"/>
  <c r="AV37" i="1"/>
  <c r="BH37" i="1" s="1"/>
  <c r="AT37" i="1"/>
  <c r="AS37" i="1"/>
  <c r="AK37" i="1"/>
  <c r="AM37" i="1" s="1"/>
  <c r="Y37" i="1"/>
  <c r="X37" i="1"/>
  <c r="AC37" i="1" s="1"/>
  <c r="V37" i="1"/>
  <c r="I37" i="1"/>
  <c r="WM37" i="1" s="1"/>
  <c r="WN37" i="1" s="1"/>
  <c r="ADU36" i="1"/>
  <c r="ACU36" i="1"/>
  <c r="ACN36" i="1"/>
  <c r="AEB36" i="1" s="1"/>
  <c r="AAH36" i="1"/>
  <c r="YK36" i="1"/>
  <c r="XO36" i="1"/>
  <c r="XP36" i="1" s="1"/>
  <c r="XM36" i="1"/>
  <c r="XF36" i="1"/>
  <c r="XD36" i="1" s="1"/>
  <c r="TD36" i="1"/>
  <c r="RX36" i="1"/>
  <c r="RT36" i="1"/>
  <c r="TQ36" i="1" s="1"/>
  <c r="OK36" i="1"/>
  <c r="OF36" i="1"/>
  <c r="ML36" i="1"/>
  <c r="MN36" i="1" s="1"/>
  <c r="MF36" i="1"/>
  <c r="MH36" i="1" s="1"/>
  <c r="MI36" i="1" s="1"/>
  <c r="LZ36" i="1"/>
  <c r="MB36" i="1" s="1"/>
  <c r="MC36" i="1" s="1"/>
  <c r="LT36" i="1"/>
  <c r="LV36" i="1" s="1"/>
  <c r="LF36" i="1"/>
  <c r="II36" i="1"/>
  <c r="HD36" i="1"/>
  <c r="HE36" i="1" s="1"/>
  <c r="HF36" i="1" s="1"/>
  <c r="GZ36" i="1"/>
  <c r="HA36" i="1" s="1"/>
  <c r="GV36" i="1"/>
  <c r="GW36" i="1" s="1"/>
  <c r="GX36" i="1" s="1"/>
  <c r="GQ36" i="1"/>
  <c r="GR36" i="1" s="1"/>
  <c r="GP36" i="1"/>
  <c r="BR36" i="1"/>
  <c r="BN36" i="1"/>
  <c r="BD36" i="1"/>
  <c r="AZ36" i="1"/>
  <c r="BA36" i="1" s="1"/>
  <c r="AW36" i="1"/>
  <c r="AV36" i="1"/>
  <c r="BH36" i="1" s="1"/>
  <c r="AT36" i="1"/>
  <c r="AK36" i="1"/>
  <c r="AM36" i="1" s="1"/>
  <c r="X36" i="1"/>
  <c r="AC36" i="1" s="1"/>
  <c r="V36" i="1"/>
  <c r="I36" i="1"/>
  <c r="WT36" i="1" s="1"/>
  <c r="ADU35" i="1"/>
  <c r="ACU35" i="1"/>
  <c r="ACN35" i="1"/>
  <c r="AEB35" i="1" s="1"/>
  <c r="AAH35" i="1"/>
  <c r="YK35" i="1"/>
  <c r="XO35" i="1"/>
  <c r="XP35" i="1" s="1"/>
  <c r="XM35" i="1"/>
  <c r="XF35" i="1"/>
  <c r="XD35" i="1" s="1"/>
  <c r="TD35" i="1"/>
  <c r="RX35" i="1"/>
  <c r="RT35" i="1"/>
  <c r="TQ35" i="1" s="1"/>
  <c r="OK35" i="1"/>
  <c r="OF35" i="1"/>
  <c r="ML35" i="1"/>
  <c r="MN35" i="1" s="1"/>
  <c r="MH35" i="1"/>
  <c r="MI35" i="1" s="1"/>
  <c r="MF35" i="1"/>
  <c r="LZ35" i="1"/>
  <c r="MB35" i="1" s="1"/>
  <c r="MC35" i="1" s="1"/>
  <c r="LT35" i="1"/>
  <c r="LV35" i="1" s="1"/>
  <c r="LF35" i="1"/>
  <c r="II35" i="1"/>
  <c r="HD35" i="1"/>
  <c r="HE35" i="1" s="1"/>
  <c r="HF35" i="1" s="1"/>
  <c r="GZ35" i="1"/>
  <c r="HA35" i="1" s="1"/>
  <c r="GW35" i="1"/>
  <c r="GV35" i="1"/>
  <c r="GR35" i="1"/>
  <c r="GQ35" i="1"/>
  <c r="GP35" i="1"/>
  <c r="FV35" i="1"/>
  <c r="FX35" i="1" s="1"/>
  <c r="FT35" i="1"/>
  <c r="FE35" i="1"/>
  <c r="EP35" i="1"/>
  <c r="DM35" i="1"/>
  <c r="CW35" i="1"/>
  <c r="CH35" i="1"/>
  <c r="BR35" i="1"/>
  <c r="BN35" i="1"/>
  <c r="BD35" i="1"/>
  <c r="AZ35" i="1"/>
  <c r="BA35" i="1" s="1"/>
  <c r="AW35" i="1"/>
  <c r="AV35" i="1"/>
  <c r="BH35" i="1" s="1"/>
  <c r="AT35" i="1"/>
  <c r="AK35" i="1"/>
  <c r="AM35" i="1" s="1"/>
  <c r="X35" i="1"/>
  <c r="AC35" i="1" s="1"/>
  <c r="V35" i="1"/>
  <c r="I35" i="1"/>
  <c r="WT35" i="1" s="1"/>
  <c r="ADU34" i="1"/>
  <c r="ACU34" i="1"/>
  <c r="ACN34" i="1"/>
  <c r="AEB34" i="1" s="1"/>
  <c r="AAH34" i="1"/>
  <c r="YK34" i="1"/>
  <c r="XO34" i="1"/>
  <c r="XP34" i="1" s="1"/>
  <c r="XM34" i="1"/>
  <c r="XF34" i="1"/>
  <c r="XD34" i="1" s="1"/>
  <c r="TD34" i="1"/>
  <c r="RX34" i="1"/>
  <c r="RT34" i="1"/>
  <c r="TQ34" i="1" s="1"/>
  <c r="OK34" i="1"/>
  <c r="OF34" i="1"/>
  <c r="ML34" i="1"/>
  <c r="MN34" i="1" s="1"/>
  <c r="MH34" i="1"/>
  <c r="MI34" i="1" s="1"/>
  <c r="MF34" i="1"/>
  <c r="LZ34" i="1"/>
  <c r="MB34" i="1" s="1"/>
  <c r="MC34" i="1" s="1"/>
  <c r="LT34" i="1"/>
  <c r="LV34" i="1" s="1"/>
  <c r="LF34" i="1"/>
  <c r="II34" i="1"/>
  <c r="HD34" i="1"/>
  <c r="HE34" i="1" s="1"/>
  <c r="HF34" i="1" s="1"/>
  <c r="GZ34" i="1"/>
  <c r="HA34" i="1" s="1"/>
  <c r="GW34" i="1"/>
  <c r="GV34" i="1"/>
  <c r="GR34" i="1"/>
  <c r="GQ34" i="1"/>
  <c r="GP34" i="1"/>
  <c r="BR34" i="1"/>
  <c r="BN34" i="1"/>
  <c r="BD34" i="1"/>
  <c r="BA34" i="1"/>
  <c r="AZ34" i="1"/>
  <c r="AW34" i="1"/>
  <c r="AV34" i="1"/>
  <c r="BH34" i="1" s="1"/>
  <c r="AT34" i="1"/>
  <c r="AM34" i="1"/>
  <c r="AK34" i="1"/>
  <c r="X34" i="1"/>
  <c r="Y34" i="1" s="1"/>
  <c r="V34" i="1"/>
  <c r="I34" i="1"/>
  <c r="WT34" i="1" s="1"/>
  <c r="ADU33" i="1"/>
  <c r="ACU33" i="1"/>
  <c r="ACN33" i="1"/>
  <c r="ACR33" i="1" s="1"/>
  <c r="AAH33" i="1"/>
  <c r="YK33" i="1"/>
  <c r="XO33" i="1"/>
  <c r="XP33" i="1" s="1"/>
  <c r="XM33" i="1"/>
  <c r="XF33" i="1"/>
  <c r="XD33" i="1" s="1"/>
  <c r="XC33" i="1"/>
  <c r="TD33" i="1"/>
  <c r="RX33" i="1"/>
  <c r="RT33" i="1"/>
  <c r="TQ33" i="1" s="1"/>
  <c r="OK33" i="1"/>
  <c r="OF33" i="1"/>
  <c r="MN33" i="1"/>
  <c r="ML33" i="1"/>
  <c r="MF33" i="1"/>
  <c r="MH33" i="1" s="1"/>
  <c r="MI33" i="1" s="1"/>
  <c r="LZ33" i="1"/>
  <c r="MB33" i="1" s="1"/>
  <c r="MC33" i="1" s="1"/>
  <c r="LT33" i="1"/>
  <c r="LV33" i="1" s="1"/>
  <c r="LF33" i="1"/>
  <c r="II33" i="1"/>
  <c r="HD33" i="1"/>
  <c r="HE33" i="1" s="1"/>
  <c r="GZ33" i="1"/>
  <c r="HA33" i="1" s="1"/>
  <c r="HB33" i="1" s="1"/>
  <c r="GV33" i="1"/>
  <c r="GW33" i="1" s="1"/>
  <c r="GQ33" i="1"/>
  <c r="GR33" i="1" s="1"/>
  <c r="GS33" i="1" s="1"/>
  <c r="GP33" i="1"/>
  <c r="BR33" i="1"/>
  <c r="BN33" i="1"/>
  <c r="BD33" i="1"/>
  <c r="AZ33" i="1"/>
  <c r="BA33" i="1" s="1"/>
  <c r="AW33" i="1"/>
  <c r="AV33" i="1"/>
  <c r="BH33" i="1" s="1"/>
  <c r="ZB33" i="1" s="1"/>
  <c r="AT33" i="1"/>
  <c r="AK33" i="1"/>
  <c r="AM33" i="1" s="1"/>
  <c r="X33" i="1"/>
  <c r="AC33" i="1" s="1"/>
  <c r="V33" i="1"/>
  <c r="I33" i="1"/>
  <c r="WM33" i="1" s="1"/>
  <c r="WN33" i="1" s="1"/>
  <c r="ADU32" i="1"/>
  <c r="ACU32" i="1"/>
  <c r="ACN32" i="1"/>
  <c r="AEB32" i="1" s="1"/>
  <c r="AAH32" i="1"/>
  <c r="YK32" i="1"/>
  <c r="XO32" i="1"/>
  <c r="XP32" i="1" s="1"/>
  <c r="XM32" i="1"/>
  <c r="XF32" i="1"/>
  <c r="XD32" i="1" s="1"/>
  <c r="TD32" i="1"/>
  <c r="RX32" i="1"/>
  <c r="RT32" i="1"/>
  <c r="TQ32" i="1" s="1"/>
  <c r="OK32" i="1"/>
  <c r="OF32" i="1"/>
  <c r="ML32" i="1"/>
  <c r="MN32" i="1" s="1"/>
  <c r="MH32" i="1"/>
  <c r="MI32" i="1" s="1"/>
  <c r="MF32" i="1"/>
  <c r="LZ32" i="1"/>
  <c r="MB32" i="1" s="1"/>
  <c r="MC32" i="1" s="1"/>
  <c r="LT32" i="1"/>
  <c r="LV32" i="1" s="1"/>
  <c r="LF32" i="1"/>
  <c r="II32" i="1"/>
  <c r="HD32" i="1"/>
  <c r="HE32" i="1" s="1"/>
  <c r="HF32" i="1" s="1"/>
  <c r="GZ32" i="1"/>
  <c r="HA32" i="1" s="1"/>
  <c r="GW32" i="1"/>
  <c r="GV32" i="1"/>
  <c r="GR32" i="1"/>
  <c r="GQ32" i="1"/>
  <c r="GP32" i="1"/>
  <c r="FT32" i="1"/>
  <c r="BR32" i="1"/>
  <c r="BN32" i="1"/>
  <c r="BD32" i="1"/>
  <c r="AZ32" i="1"/>
  <c r="BA32" i="1" s="1"/>
  <c r="AW32" i="1"/>
  <c r="AV32" i="1"/>
  <c r="BH32" i="1" s="1"/>
  <c r="AT32" i="1"/>
  <c r="AK32" i="1"/>
  <c r="AM32" i="1" s="1"/>
  <c r="X32" i="1"/>
  <c r="AC32" i="1" s="1"/>
  <c r="V32" i="1"/>
  <c r="Q32" i="1"/>
  <c r="I32" i="1"/>
  <c r="WT32" i="1" s="1"/>
  <c r="ADU31" i="1"/>
  <c r="ACZ31" i="1"/>
  <c r="ACU31" i="1"/>
  <c r="ACN31" i="1"/>
  <c r="AEB31" i="1" s="1"/>
  <c r="AAH31" i="1"/>
  <c r="YK31" i="1"/>
  <c r="XO31" i="1"/>
  <c r="XP31" i="1" s="1"/>
  <c r="XM31" i="1"/>
  <c r="XF31" i="1"/>
  <c r="XD31" i="1" s="1"/>
  <c r="TD31" i="1"/>
  <c r="RX31" i="1"/>
  <c r="RT31" i="1"/>
  <c r="TQ31" i="1" s="1"/>
  <c r="OK31" i="1"/>
  <c r="OF31" i="1"/>
  <c r="ML31" i="1"/>
  <c r="MN31" i="1" s="1"/>
  <c r="MH31" i="1"/>
  <c r="MI31" i="1" s="1"/>
  <c r="MF31" i="1"/>
  <c r="LZ31" i="1"/>
  <c r="MB31" i="1" s="1"/>
  <c r="MC31" i="1" s="1"/>
  <c r="LT31" i="1"/>
  <c r="LV31" i="1" s="1"/>
  <c r="LF31" i="1"/>
  <c r="II31" i="1"/>
  <c r="HD31" i="1"/>
  <c r="HE31" i="1" s="1"/>
  <c r="HF31" i="1" s="1"/>
  <c r="GZ31" i="1"/>
  <c r="HA31" i="1" s="1"/>
  <c r="GW31" i="1"/>
  <c r="GX31" i="1" s="1"/>
  <c r="GV31" i="1"/>
  <c r="GR31" i="1"/>
  <c r="GQ31" i="1"/>
  <c r="GP31" i="1"/>
  <c r="BR31" i="1"/>
  <c r="BN31" i="1"/>
  <c r="BD31" i="1"/>
  <c r="BA31" i="1"/>
  <c r="AZ31" i="1"/>
  <c r="AW31" i="1"/>
  <c r="AV31" i="1"/>
  <c r="BH31" i="1" s="1"/>
  <c r="AT31" i="1"/>
  <c r="AK31" i="1"/>
  <c r="AM31" i="1" s="1"/>
  <c r="X31" i="1"/>
  <c r="Y31" i="1" s="1"/>
  <c r="V31" i="1"/>
  <c r="J31" i="1"/>
  <c r="JL31" i="1" s="1"/>
  <c r="I31" i="1"/>
  <c r="WT31" i="1" s="1"/>
  <c r="ADU30" i="1"/>
  <c r="ACU30" i="1"/>
  <c r="ACN30" i="1"/>
  <c r="ACR30" i="1" s="1"/>
  <c r="AAH30" i="1"/>
  <c r="YK30" i="1"/>
  <c r="XO30" i="1"/>
  <c r="XP30" i="1" s="1"/>
  <c r="XM30" i="1"/>
  <c r="XF30" i="1"/>
  <c r="XD30" i="1" s="1"/>
  <c r="XC30" i="1"/>
  <c r="TD30" i="1"/>
  <c r="RX30" i="1"/>
  <c r="RT30" i="1"/>
  <c r="TQ30" i="1" s="1"/>
  <c r="OK30" i="1"/>
  <c r="OF30" i="1"/>
  <c r="ML30" i="1"/>
  <c r="MN30" i="1" s="1"/>
  <c r="MF30" i="1"/>
  <c r="MH30" i="1" s="1"/>
  <c r="MI30" i="1" s="1"/>
  <c r="LZ30" i="1"/>
  <c r="MB30" i="1" s="1"/>
  <c r="MC30" i="1" s="1"/>
  <c r="LT30" i="1"/>
  <c r="LV30" i="1" s="1"/>
  <c r="LF30" i="1"/>
  <c r="II30" i="1"/>
  <c r="HD30" i="1"/>
  <c r="HE30" i="1" s="1"/>
  <c r="GZ30" i="1"/>
  <c r="HA30" i="1" s="1"/>
  <c r="GV30" i="1"/>
  <c r="GW30" i="1" s="1"/>
  <c r="GQ30" i="1"/>
  <c r="GR30" i="1" s="1"/>
  <c r="GS30" i="1" s="1"/>
  <c r="GP30" i="1"/>
  <c r="BR30" i="1"/>
  <c r="BN30" i="1"/>
  <c r="BD30" i="1"/>
  <c r="BA30" i="1"/>
  <c r="AZ30" i="1"/>
  <c r="AW30" i="1"/>
  <c r="AV30" i="1"/>
  <c r="BH30" i="1" s="1"/>
  <c r="AT30" i="1"/>
  <c r="AM30" i="1"/>
  <c r="AK30" i="1"/>
  <c r="X30" i="1"/>
  <c r="Y30" i="1" s="1"/>
  <c r="V30" i="1"/>
  <c r="I30" i="1"/>
  <c r="DW30" i="1" s="1"/>
  <c r="DY30" i="1" s="1"/>
  <c r="ADU29" i="1"/>
  <c r="ACU29" i="1"/>
  <c r="ACN29" i="1"/>
  <c r="ACR29" i="1" s="1"/>
  <c r="AAS29" i="1"/>
  <c r="ADV29" i="1" s="1"/>
  <c r="AAH29" i="1"/>
  <c r="ZA29" i="1"/>
  <c r="YK29" i="1"/>
  <c r="XP29" i="1"/>
  <c r="XO29" i="1"/>
  <c r="XM29" i="1"/>
  <c r="XF29" i="1"/>
  <c r="XD29" i="1" s="1"/>
  <c r="XC29" i="1"/>
  <c r="WT29" i="1"/>
  <c r="WM29" i="1"/>
  <c r="WN29" i="1" s="1"/>
  <c r="VM29" i="1"/>
  <c r="YE29" i="1" s="1"/>
  <c r="VB29" i="1"/>
  <c r="YM29" i="1" s="1"/>
  <c r="UO29" i="1"/>
  <c r="UQ29" i="1" s="1"/>
  <c r="UN29" i="1"/>
  <c r="UC29" i="1"/>
  <c r="TM29" i="1"/>
  <c r="TD29" i="1"/>
  <c r="SZ29" i="1"/>
  <c r="SX29" i="1"/>
  <c r="RX29" i="1"/>
  <c r="RY29" i="1" s="1"/>
  <c r="RU29" i="1"/>
  <c r="UF29" i="1" s="1"/>
  <c r="RT29" i="1"/>
  <c r="TQ29" i="1" s="1"/>
  <c r="PE29" i="1"/>
  <c r="PB29" i="1"/>
  <c r="VN29" i="1" s="1"/>
  <c r="WC29" i="1" s="1"/>
  <c r="YR29" i="1" s="1"/>
  <c r="OU29" i="1"/>
  <c r="OY29" i="1" s="1"/>
  <c r="OW29" i="1" s="1"/>
  <c r="OO29" i="1"/>
  <c r="OR29" i="1" s="1"/>
  <c r="OK29" i="1"/>
  <c r="ZO29" i="1" s="1"/>
  <c r="OJ29" i="1"/>
  <c r="OS29" i="1" s="1"/>
  <c r="OF29" i="1"/>
  <c r="OE29" i="1"/>
  <c r="OC29" i="1"/>
  <c r="OA29" i="1"/>
  <c r="ZC29" i="1" s="1"/>
  <c r="NX29" i="1"/>
  <c r="VC29" i="1" s="1"/>
  <c r="XX29" i="1" s="1"/>
  <c r="NV29" i="1"/>
  <c r="NT29" i="1"/>
  <c r="ABG29" i="1" s="1"/>
  <c r="ADK29" i="1" s="1"/>
  <c r="NQ29" i="1"/>
  <c r="VG29" i="1" s="1"/>
  <c r="XZ29" i="1" s="1"/>
  <c r="NO29" i="1"/>
  <c r="NM29" i="1"/>
  <c r="ABD29" i="1" s="1"/>
  <c r="NJ29" i="1"/>
  <c r="VF29" i="1" s="1"/>
  <c r="NG29" i="1"/>
  <c r="NE29" i="1"/>
  <c r="ABB29" i="1" s="1"/>
  <c r="ADN29" i="1" s="1"/>
  <c r="NB29" i="1"/>
  <c r="VE29" i="1" s="1"/>
  <c r="YC29" i="1" s="1"/>
  <c r="MZ29" i="1"/>
  <c r="MX29" i="1"/>
  <c r="ABA29" i="1" s="1"/>
  <c r="ADM29" i="1" s="1"/>
  <c r="MU29" i="1"/>
  <c r="VD29" i="1" s="1"/>
  <c r="YB29" i="1" s="1"/>
  <c r="ML29" i="1"/>
  <c r="MN29" i="1" s="1"/>
  <c r="MH29" i="1"/>
  <c r="MI29" i="1" s="1"/>
  <c r="MF29" i="1"/>
  <c r="LZ29" i="1"/>
  <c r="MB29" i="1" s="1"/>
  <c r="MC29" i="1" s="1"/>
  <c r="LT29" i="1"/>
  <c r="LV29" i="1" s="1"/>
  <c r="LQ29" i="1"/>
  <c r="AAZ29" i="1" s="1"/>
  <c r="ADI29" i="1" s="1"/>
  <c r="LO29" i="1"/>
  <c r="AAX29" i="1" s="1"/>
  <c r="ADG29" i="1" s="1"/>
  <c r="LF29" i="1"/>
  <c r="LG29" i="1" s="1"/>
  <c r="KR29" i="1"/>
  <c r="KT29" i="1" s="1"/>
  <c r="KN29" i="1"/>
  <c r="KM29" i="1"/>
  <c r="KK29" i="1"/>
  <c r="KG29" i="1"/>
  <c r="JN29" i="1"/>
  <c r="JO29" i="1" s="1"/>
  <c r="IZ29" i="1"/>
  <c r="JA29" i="1" s="1"/>
  <c r="II29" i="1"/>
  <c r="IJ29" i="1" s="1"/>
  <c r="ZM29" i="1" s="1"/>
  <c r="HX29" i="1"/>
  <c r="HZ29" i="1" s="1"/>
  <c r="HT29" i="1"/>
  <c r="HU29" i="1" s="1"/>
  <c r="HP29" i="1"/>
  <c r="HR29" i="1" s="1"/>
  <c r="HN29" i="1"/>
  <c r="HJ29" i="1"/>
  <c r="HL29" i="1" s="1"/>
  <c r="HK29" i="1" s="1"/>
  <c r="HE29" i="1"/>
  <c r="HF29" i="1" s="1"/>
  <c r="HA29" i="1"/>
  <c r="HB29" i="1" s="1"/>
  <c r="GW29" i="1"/>
  <c r="GX29" i="1" s="1"/>
  <c r="GR29" i="1"/>
  <c r="GP29" i="1"/>
  <c r="FV29" i="1"/>
  <c r="FX29" i="1" s="1"/>
  <c r="FT29" i="1"/>
  <c r="FE29" i="1"/>
  <c r="EP29" i="1"/>
  <c r="DW29" i="1"/>
  <c r="DY29" i="1" s="1"/>
  <c r="DS29" i="1"/>
  <c r="DT29" i="1" s="1"/>
  <c r="DM29" i="1"/>
  <c r="DJ29" i="1"/>
  <c r="DH29" i="1"/>
  <c r="DD29" i="1"/>
  <c r="DC29" i="1"/>
  <c r="CW29" i="1"/>
  <c r="CR29" i="1"/>
  <c r="CT29" i="1" s="1"/>
  <c r="CH29" i="1"/>
  <c r="CD29" i="1"/>
  <c r="CB29" i="1"/>
  <c r="BX29" i="1"/>
  <c r="BW29" i="1"/>
  <c r="BR29" i="1"/>
  <c r="BN29" i="1"/>
  <c r="BF29" i="1"/>
  <c r="BD29" i="1"/>
  <c r="AZ29" i="1"/>
  <c r="BA29" i="1" s="1"/>
  <c r="AY29" i="1"/>
  <c r="AW29" i="1"/>
  <c r="AV29" i="1"/>
  <c r="BH29" i="1" s="1"/>
  <c r="AT29" i="1"/>
  <c r="AK29" i="1"/>
  <c r="AM29" i="1" s="1"/>
  <c r="X29" i="1"/>
  <c r="AC29" i="1" s="1"/>
  <c r="V29" i="1"/>
  <c r="R29" i="1"/>
  <c r="O29" i="1"/>
  <c r="J29" i="1"/>
  <c r="JL29" i="1" s="1"/>
  <c r="ADU28" i="1"/>
  <c r="ACU28" i="1"/>
  <c r="ACN28" i="1"/>
  <c r="ACR28" i="1" s="1"/>
  <c r="AAH28" i="1"/>
  <c r="YK28" i="1"/>
  <c r="XO28" i="1"/>
  <c r="XP28" i="1" s="1"/>
  <c r="XM28" i="1"/>
  <c r="XF28" i="1"/>
  <c r="XD28" i="1" s="1"/>
  <c r="XC28" i="1"/>
  <c r="TQ28" i="1"/>
  <c r="QU28" i="1" s="1"/>
  <c r="TD28" i="1"/>
  <c r="RX28" i="1"/>
  <c r="OK28" i="1"/>
  <c r="OF28" i="1"/>
  <c r="ML28" i="1"/>
  <c r="MN28" i="1" s="1"/>
  <c r="MF28" i="1"/>
  <c r="MH28" i="1" s="1"/>
  <c r="MI28" i="1" s="1"/>
  <c r="LZ28" i="1"/>
  <c r="MB28" i="1" s="1"/>
  <c r="MC28" i="1" s="1"/>
  <c r="LV28" i="1"/>
  <c r="LT28" i="1"/>
  <c r="LF28" i="1"/>
  <c r="II28" i="1"/>
  <c r="HE28" i="1"/>
  <c r="HD28" i="1"/>
  <c r="GZ28" i="1"/>
  <c r="GV28" i="1"/>
  <c r="GW28" i="1" s="1"/>
  <c r="GX28" i="1" s="1"/>
  <c r="GQ28" i="1"/>
  <c r="GR28" i="1" s="1"/>
  <c r="GP28" i="1"/>
  <c r="FV28" i="1"/>
  <c r="FX28" i="1" s="1"/>
  <c r="FT28" i="1"/>
  <c r="FE28" i="1"/>
  <c r="EP28" i="1"/>
  <c r="DM28" i="1"/>
  <c r="CW28" i="1"/>
  <c r="CH28" i="1"/>
  <c r="BR28" i="1"/>
  <c r="BN28" i="1"/>
  <c r="BD28" i="1"/>
  <c r="AZ28" i="1"/>
  <c r="BA28" i="1" s="1"/>
  <c r="AW28" i="1"/>
  <c r="AV28" i="1"/>
  <c r="BH28" i="1" s="1"/>
  <c r="ZB28" i="1" s="1"/>
  <c r="AT28" i="1"/>
  <c r="AS28" i="1"/>
  <c r="AM28" i="1"/>
  <c r="AK28" i="1"/>
  <c r="AI28" i="1"/>
  <c r="X28" i="1"/>
  <c r="AC28" i="1" s="1"/>
  <c r="V28" i="1"/>
  <c r="I28" i="1"/>
  <c r="WM28" i="1" s="1"/>
  <c r="WN28" i="1" s="1"/>
  <c r="ADU27" i="1"/>
  <c r="ACU27" i="1"/>
  <c r="ACN27" i="1"/>
  <c r="AEB27" i="1" s="1"/>
  <c r="AAH27" i="1"/>
  <c r="YK27" i="1"/>
  <c r="XO27" i="1"/>
  <c r="XP27" i="1" s="1"/>
  <c r="XM27" i="1"/>
  <c r="XF27" i="1"/>
  <c r="XD27" i="1" s="1"/>
  <c r="WT27" i="1"/>
  <c r="WM27" i="1"/>
  <c r="WN27" i="1" s="1"/>
  <c r="VM27" i="1"/>
  <c r="YE27" i="1" s="1"/>
  <c r="VB27" i="1"/>
  <c r="YM27" i="1" s="1"/>
  <c r="UQ27" i="1"/>
  <c r="UO27" i="1"/>
  <c r="UN27" i="1"/>
  <c r="UC27" i="1"/>
  <c r="TQ27" i="1"/>
  <c r="UA27" i="1" s="1"/>
  <c r="TM27" i="1"/>
  <c r="TD27" i="1"/>
  <c r="SZ27" i="1"/>
  <c r="SX27" i="1"/>
  <c r="RX27" i="1"/>
  <c r="RY27" i="1" s="1"/>
  <c r="RU27" i="1"/>
  <c r="UF27" i="1" s="1"/>
  <c r="QM27" i="1"/>
  <c r="QN27" i="1" s="1"/>
  <c r="PE27" i="1"/>
  <c r="PB27" i="1"/>
  <c r="VN27" i="1" s="1"/>
  <c r="WC27" i="1" s="1"/>
  <c r="YR27" i="1" s="1"/>
  <c r="OU27" i="1"/>
  <c r="OY27" i="1" s="1"/>
  <c r="OW27" i="1" s="1"/>
  <c r="OX27" i="1" s="1"/>
  <c r="OO27" i="1"/>
  <c r="OR27" i="1" s="1"/>
  <c r="OK27" i="1"/>
  <c r="ABS27" i="1" s="1"/>
  <c r="OJ27" i="1"/>
  <c r="OF27" i="1"/>
  <c r="OE27" i="1"/>
  <c r="OC27" i="1"/>
  <c r="OA27" i="1"/>
  <c r="AAY27" i="1" s="1"/>
  <c r="ADH27" i="1" s="1"/>
  <c r="NX27" i="1"/>
  <c r="NY27" i="1" s="1"/>
  <c r="NV27" i="1"/>
  <c r="NT27" i="1"/>
  <c r="ZG27" i="1" s="1"/>
  <c r="NQ27" i="1"/>
  <c r="NR27" i="1" s="1"/>
  <c r="NO27" i="1"/>
  <c r="NM27" i="1"/>
  <c r="ABD27" i="1" s="1"/>
  <c r="NJ27" i="1"/>
  <c r="VF27" i="1" s="1"/>
  <c r="NG27" i="1"/>
  <c r="NE27" i="1"/>
  <c r="ZE27" i="1" s="1"/>
  <c r="NB27" i="1"/>
  <c r="NC27" i="1" s="1"/>
  <c r="MZ27" i="1"/>
  <c r="MX27" i="1"/>
  <c r="ABA27" i="1" s="1"/>
  <c r="ADM27" i="1" s="1"/>
  <c r="MU27" i="1"/>
  <c r="VD27" i="1" s="1"/>
  <c r="YB27" i="1" s="1"/>
  <c r="ML27" i="1"/>
  <c r="MN27" i="1" s="1"/>
  <c r="MO27" i="1" s="1"/>
  <c r="MF27" i="1"/>
  <c r="MH27" i="1" s="1"/>
  <c r="MI27" i="1" s="1"/>
  <c r="MB27" i="1"/>
  <c r="MC27" i="1" s="1"/>
  <c r="LZ27" i="1"/>
  <c r="LT27" i="1"/>
  <c r="LV27" i="1" s="1"/>
  <c r="LQ27" i="1"/>
  <c r="AAZ27" i="1" s="1"/>
  <c r="ADI27" i="1" s="1"/>
  <c r="LO27" i="1"/>
  <c r="AAX27" i="1" s="1"/>
  <c r="ADG27" i="1" s="1"/>
  <c r="LF27" i="1"/>
  <c r="LG27" i="1" s="1"/>
  <c r="KT27" i="1"/>
  <c r="KR27" i="1"/>
  <c r="KM27" i="1"/>
  <c r="KN27" i="1" s="1"/>
  <c r="KK27" i="1"/>
  <c r="KG27" i="1"/>
  <c r="JN27" i="1"/>
  <c r="JO27" i="1" s="1"/>
  <c r="IZ27" i="1"/>
  <c r="JA27" i="1" s="1"/>
  <c r="II27" i="1"/>
  <c r="IJ27" i="1" s="1"/>
  <c r="HX27" i="1"/>
  <c r="HZ27" i="1" s="1"/>
  <c r="HT27" i="1"/>
  <c r="HU27" i="1" s="1"/>
  <c r="HP27" i="1"/>
  <c r="HR27" i="1" s="1"/>
  <c r="HN27" i="1"/>
  <c r="HJ27" i="1"/>
  <c r="HL27" i="1" s="1"/>
  <c r="HK27" i="1" s="1"/>
  <c r="HD27" i="1"/>
  <c r="HE27" i="1" s="1"/>
  <c r="HF27" i="1" s="1"/>
  <c r="HA27" i="1"/>
  <c r="HB27" i="1" s="1"/>
  <c r="GZ27" i="1"/>
  <c r="AAS27" i="1" s="1"/>
  <c r="GV27" i="1"/>
  <c r="ZA27" i="1" s="1"/>
  <c r="GQ27" i="1"/>
  <c r="GR27" i="1" s="1"/>
  <c r="GP27" i="1"/>
  <c r="VA27" i="1" s="1"/>
  <c r="FV27" i="1"/>
  <c r="FT27" i="1"/>
  <c r="FE27" i="1"/>
  <c r="FG27" i="1" s="1"/>
  <c r="EP27" i="1"/>
  <c r="ER27" i="1" s="1"/>
  <c r="DW27" i="1"/>
  <c r="DY27" i="1" s="1"/>
  <c r="DS27" i="1"/>
  <c r="DT27" i="1" s="1"/>
  <c r="DM27" i="1"/>
  <c r="DO27" i="1" s="1"/>
  <c r="DH27" i="1"/>
  <c r="DJ27" i="1" s="1"/>
  <c r="DC27" i="1"/>
  <c r="DD27" i="1" s="1"/>
  <c r="CW27" i="1"/>
  <c r="CR27" i="1"/>
  <c r="CT27" i="1" s="1"/>
  <c r="CH27" i="1"/>
  <c r="CB27" i="1"/>
  <c r="CD27" i="1" s="1"/>
  <c r="BW27" i="1"/>
  <c r="BX27" i="1" s="1"/>
  <c r="BR27" i="1"/>
  <c r="BN27" i="1"/>
  <c r="BF27" i="1"/>
  <c r="BD27" i="1"/>
  <c r="AZ27" i="1"/>
  <c r="BA27" i="1" s="1"/>
  <c r="AY27" i="1"/>
  <c r="AW27" i="1"/>
  <c r="AV27" i="1"/>
  <c r="BH27" i="1" s="1"/>
  <c r="AT27" i="1"/>
  <c r="AK27" i="1"/>
  <c r="AM27" i="1" s="1"/>
  <c r="X27" i="1"/>
  <c r="Y27" i="1" s="1"/>
  <c r="V27" i="1"/>
  <c r="R27" i="1"/>
  <c r="O27" i="1"/>
  <c r="J27" i="1"/>
  <c r="KB27" i="1" s="1"/>
  <c r="KC27" i="1" s="1"/>
  <c r="ADU26" i="1"/>
  <c r="ACU26" i="1"/>
  <c r="ACR26" i="1"/>
  <c r="ACN26" i="1"/>
  <c r="AEB26" i="1" s="1"/>
  <c r="AAH26" i="1"/>
  <c r="YK26" i="1"/>
  <c r="XP26" i="1"/>
  <c r="XO26" i="1"/>
  <c r="XM26" i="1"/>
  <c r="XF26" i="1"/>
  <c r="XD26" i="1" s="1"/>
  <c r="XC26" i="1"/>
  <c r="TD26" i="1"/>
  <c r="RX26" i="1"/>
  <c r="RT26" i="1"/>
  <c r="TQ26" i="1" s="1"/>
  <c r="OK26" i="1"/>
  <c r="OF26" i="1"/>
  <c r="ML26" i="1"/>
  <c r="MN26" i="1" s="1"/>
  <c r="MF26" i="1"/>
  <c r="MH26" i="1" s="1"/>
  <c r="MI26" i="1" s="1"/>
  <c r="LZ26" i="1"/>
  <c r="MB26" i="1" s="1"/>
  <c r="MC26" i="1" s="1"/>
  <c r="LV26" i="1"/>
  <c r="LT26" i="1"/>
  <c r="LF26" i="1"/>
  <c r="II26" i="1"/>
  <c r="HE26" i="1"/>
  <c r="HD26" i="1"/>
  <c r="GZ26" i="1"/>
  <c r="HA26" i="1" s="1"/>
  <c r="GV26" i="1"/>
  <c r="GW26" i="1" s="1"/>
  <c r="GX26" i="1" s="1"/>
  <c r="GQ26" i="1"/>
  <c r="GR26" i="1" s="1"/>
  <c r="GP26" i="1"/>
  <c r="FV26" i="1"/>
  <c r="FX26" i="1" s="1"/>
  <c r="FT26" i="1"/>
  <c r="FE26" i="1"/>
  <c r="EP26" i="1"/>
  <c r="DM26" i="1"/>
  <c r="CW26" i="1"/>
  <c r="CH26" i="1"/>
  <c r="BR26" i="1"/>
  <c r="BN26" i="1"/>
  <c r="BD26" i="1"/>
  <c r="AZ26" i="1"/>
  <c r="BA26" i="1" s="1"/>
  <c r="AW26" i="1"/>
  <c r="AV26" i="1"/>
  <c r="BH26" i="1" s="1"/>
  <c r="AT26" i="1"/>
  <c r="AK26" i="1"/>
  <c r="AM26" i="1" s="1"/>
  <c r="Y26" i="1"/>
  <c r="X26" i="1"/>
  <c r="AC26" i="1" s="1"/>
  <c r="V26" i="1"/>
  <c r="Q26" i="1"/>
  <c r="J26" i="1"/>
  <c r="JL26" i="1" s="1"/>
  <c r="I26" i="1"/>
  <c r="WT26" i="1" s="1"/>
  <c r="AEB25" i="1"/>
  <c r="ADU25" i="1"/>
  <c r="ACY25" i="1"/>
  <c r="ACU25" i="1"/>
  <c r="ACR25" i="1"/>
  <c r="ACN25" i="1"/>
  <c r="AAH25" i="1"/>
  <c r="YK25" i="1"/>
  <c r="XP25" i="1"/>
  <c r="XO25" i="1"/>
  <c r="XM25" i="1"/>
  <c r="XF25" i="1"/>
  <c r="XD25" i="1" s="1"/>
  <c r="XC25" i="1"/>
  <c r="TQ25" i="1"/>
  <c r="UA25" i="1" s="1"/>
  <c r="TD25" i="1"/>
  <c r="RX25" i="1"/>
  <c r="QU25" i="1"/>
  <c r="QM25" i="1"/>
  <c r="QK25" i="1"/>
  <c r="OK25" i="1"/>
  <c r="OF25" i="1"/>
  <c r="ML25" i="1"/>
  <c r="MN25" i="1" s="1"/>
  <c r="MO25" i="1" s="1"/>
  <c r="MF25" i="1"/>
  <c r="MH25" i="1" s="1"/>
  <c r="MI25" i="1" s="1"/>
  <c r="LZ25" i="1"/>
  <c r="MB25" i="1" s="1"/>
  <c r="MC25" i="1" s="1"/>
  <c r="LT25" i="1"/>
  <c r="LV25" i="1" s="1"/>
  <c r="LF25" i="1"/>
  <c r="II25" i="1"/>
  <c r="HD25" i="1"/>
  <c r="HE25" i="1" s="1"/>
  <c r="GZ25" i="1"/>
  <c r="GV25" i="1"/>
  <c r="GQ25" i="1"/>
  <c r="GR25" i="1" s="1"/>
  <c r="GS25" i="1" s="1"/>
  <c r="GP25" i="1"/>
  <c r="FV25" i="1"/>
  <c r="FT25" i="1"/>
  <c r="FE25" i="1"/>
  <c r="FG25" i="1" s="1"/>
  <c r="EP25" i="1"/>
  <c r="ER25" i="1" s="1"/>
  <c r="DM25" i="1"/>
  <c r="DO25" i="1" s="1"/>
  <c r="CW25" i="1"/>
  <c r="CH25" i="1"/>
  <c r="BR25" i="1"/>
  <c r="BN25" i="1"/>
  <c r="BD25" i="1"/>
  <c r="BA25" i="1"/>
  <c r="AZ25" i="1"/>
  <c r="AW25" i="1"/>
  <c r="AV25" i="1"/>
  <c r="BH25" i="1" s="1"/>
  <c r="AT25" i="1"/>
  <c r="AK25" i="1"/>
  <c r="AM25" i="1" s="1"/>
  <c r="X25" i="1"/>
  <c r="S25" i="1"/>
  <c r="V25" i="1" s="1"/>
  <c r="I25" i="1"/>
  <c r="WT25" i="1" s="1"/>
  <c r="ADU24" i="1"/>
  <c r="ACU24" i="1"/>
  <c r="ACN24" i="1"/>
  <c r="AEB24" i="1" s="1"/>
  <c r="AAH24" i="1"/>
  <c r="YK24" i="1"/>
  <c r="XO24" i="1"/>
  <c r="XP24" i="1" s="1"/>
  <c r="XM24" i="1"/>
  <c r="XF24" i="1"/>
  <c r="XD24" i="1" s="1"/>
  <c r="TQ24" i="1"/>
  <c r="UA24" i="1" s="1"/>
  <c r="TD24" i="1"/>
  <c r="RX24" i="1"/>
  <c r="QM24" i="1"/>
  <c r="QK24" i="1" s="1"/>
  <c r="OK24" i="1"/>
  <c r="OF24" i="1"/>
  <c r="ML24" i="1"/>
  <c r="MN24" i="1" s="1"/>
  <c r="MF24" i="1"/>
  <c r="MH24" i="1" s="1"/>
  <c r="MI24" i="1" s="1"/>
  <c r="LZ24" i="1"/>
  <c r="MB24" i="1" s="1"/>
  <c r="MC24" i="1" s="1"/>
  <c r="LV24" i="1"/>
  <c r="LT24" i="1"/>
  <c r="LF24" i="1"/>
  <c r="II24" i="1"/>
  <c r="HD24" i="1"/>
  <c r="HE24" i="1" s="1"/>
  <c r="GZ24" i="1"/>
  <c r="HA24" i="1" s="1"/>
  <c r="HB24" i="1" s="1"/>
  <c r="GV24" i="1"/>
  <c r="GQ24" i="1"/>
  <c r="GR24" i="1" s="1"/>
  <c r="GS24" i="1" s="1"/>
  <c r="GP24" i="1"/>
  <c r="BR24" i="1"/>
  <c r="BN24" i="1"/>
  <c r="BD24" i="1"/>
  <c r="AZ24" i="1"/>
  <c r="BA24" i="1" s="1"/>
  <c r="AW24" i="1"/>
  <c r="AV24" i="1"/>
  <c r="BH24" i="1" s="1"/>
  <c r="AT24" i="1"/>
  <c r="AK24" i="1"/>
  <c r="AM24" i="1" s="1"/>
  <c r="X24" i="1"/>
  <c r="V24" i="1"/>
  <c r="S24" i="1"/>
  <c r="Y24" i="1" s="1"/>
  <c r="I24" i="1"/>
  <c r="WT24" i="1" s="1"/>
  <c r="H24" i="1"/>
  <c r="ADU23" i="1"/>
  <c r="ACU23" i="1"/>
  <c r="ACN23" i="1"/>
  <c r="ACR23" i="1" s="1"/>
  <c r="AAH23" i="1"/>
  <c r="YK23" i="1"/>
  <c r="XO23" i="1"/>
  <c r="XP23" i="1" s="1"/>
  <c r="XM23" i="1"/>
  <c r="XF23" i="1"/>
  <c r="XD23" i="1"/>
  <c r="XC23" i="1"/>
  <c r="TD23" i="1"/>
  <c r="RX23" i="1"/>
  <c r="RT23" i="1"/>
  <c r="TQ23" i="1" s="1"/>
  <c r="OK23" i="1"/>
  <c r="OF23" i="1"/>
  <c r="ML23" i="1"/>
  <c r="MN23" i="1" s="1"/>
  <c r="MF23" i="1"/>
  <c r="MH23" i="1" s="1"/>
  <c r="MI23" i="1" s="1"/>
  <c r="LZ23" i="1"/>
  <c r="MB23" i="1" s="1"/>
  <c r="MC23" i="1" s="1"/>
  <c r="LT23" i="1"/>
  <c r="LV23" i="1" s="1"/>
  <c r="VH23" i="1" s="1"/>
  <c r="LF23" i="1"/>
  <c r="II23" i="1"/>
  <c r="HE23" i="1"/>
  <c r="HF23" i="1" s="1"/>
  <c r="HA23" i="1"/>
  <c r="HB23" i="1" s="1"/>
  <c r="GW23" i="1"/>
  <c r="GX23" i="1" s="1"/>
  <c r="GR23" i="1"/>
  <c r="GP23" i="1"/>
  <c r="FV23" i="1"/>
  <c r="FX23" i="1" s="1"/>
  <c r="FT23" i="1"/>
  <c r="FE23" i="1"/>
  <c r="FG23" i="1" s="1"/>
  <c r="EP23" i="1"/>
  <c r="ER23" i="1" s="1"/>
  <c r="DM23" i="1"/>
  <c r="DO23" i="1" s="1"/>
  <c r="CW23" i="1"/>
  <c r="CH23" i="1"/>
  <c r="BR23" i="1"/>
  <c r="BN23" i="1"/>
  <c r="BD23" i="1"/>
  <c r="AZ23" i="1"/>
  <c r="BA23" i="1" s="1"/>
  <c r="AW23" i="1"/>
  <c r="AV23" i="1"/>
  <c r="BH23" i="1" s="1"/>
  <c r="BI23" i="1" s="1"/>
  <c r="AT23" i="1"/>
  <c r="AK23" i="1"/>
  <c r="AM23" i="1" s="1"/>
  <c r="X23" i="1"/>
  <c r="Y23" i="1" s="1"/>
  <c r="V23" i="1"/>
  <c r="I23" i="1"/>
  <c r="ZA23" i="1" s="1"/>
  <c r="ADU22" i="1"/>
  <c r="ACU22" i="1"/>
  <c r="ACN22" i="1"/>
  <c r="ACR22" i="1" s="1"/>
  <c r="AAH22" i="1"/>
  <c r="YK22" i="1"/>
  <c r="XO22" i="1"/>
  <c r="XP22" i="1" s="1"/>
  <c r="XM22" i="1"/>
  <c r="XF22" i="1"/>
  <c r="XD22" i="1" s="1"/>
  <c r="XC22" i="1"/>
  <c r="UA22" i="1"/>
  <c r="TQ22" i="1"/>
  <c r="TD22" i="1"/>
  <c r="RX22" i="1"/>
  <c r="OK22" i="1"/>
  <c r="ABS22" i="1" s="1"/>
  <c r="OF22" i="1"/>
  <c r="ML22" i="1"/>
  <c r="MN22" i="1" s="1"/>
  <c r="MF22" i="1"/>
  <c r="MH22" i="1" s="1"/>
  <c r="MI22" i="1" s="1"/>
  <c r="LZ22" i="1"/>
  <c r="MB22" i="1" s="1"/>
  <c r="MC22" i="1" s="1"/>
  <c r="LV22" i="1"/>
  <c r="LT22" i="1"/>
  <c r="LF22" i="1"/>
  <c r="II22" i="1"/>
  <c r="HE22" i="1"/>
  <c r="HD22" i="1"/>
  <c r="GZ22" i="1"/>
  <c r="GV22" i="1"/>
  <c r="ZA22" i="1" s="1"/>
  <c r="GQ22" i="1"/>
  <c r="GR22" i="1" s="1"/>
  <c r="GP22" i="1"/>
  <c r="BR22" i="1"/>
  <c r="BN22" i="1"/>
  <c r="BD22" i="1"/>
  <c r="AZ22" i="1"/>
  <c r="BA22" i="1" s="1"/>
  <c r="AW22" i="1"/>
  <c r="AV22" i="1"/>
  <c r="BH22" i="1" s="1"/>
  <c r="AT22" i="1"/>
  <c r="AS22" i="1"/>
  <c r="AK22" i="1"/>
  <c r="AM22" i="1" s="1"/>
  <c r="AI22" i="1"/>
  <c r="Y22" i="1"/>
  <c r="X22" i="1"/>
  <c r="AC22" i="1" s="1"/>
  <c r="V22" i="1"/>
  <c r="I22" i="1"/>
  <c r="VB22" i="1" s="1"/>
  <c r="YM22" i="1" s="1"/>
  <c r="ADU21" i="1"/>
  <c r="ACU21" i="1"/>
  <c r="ACR21" i="1"/>
  <c r="ACN21" i="1"/>
  <c r="AEB21" i="1" s="1"/>
  <c r="AAH21" i="1"/>
  <c r="YK21" i="1"/>
  <c r="XP21" i="1"/>
  <c r="XO21" i="1"/>
  <c r="XM21" i="1"/>
  <c r="XF21" i="1"/>
  <c r="XD21" i="1" s="1"/>
  <c r="XC21" i="1"/>
  <c r="WT21" i="1"/>
  <c r="WM21" i="1"/>
  <c r="WN21" i="1" s="1"/>
  <c r="VM21" i="1"/>
  <c r="VB21" i="1"/>
  <c r="YM21" i="1" s="1"/>
  <c r="UQ21" i="1"/>
  <c r="UO21" i="1"/>
  <c r="UN21" i="1"/>
  <c r="UC21" i="1"/>
  <c r="TM21" i="1"/>
  <c r="TD21" i="1"/>
  <c r="SZ21" i="1"/>
  <c r="SX21" i="1"/>
  <c r="RX21" i="1"/>
  <c r="RY21" i="1" s="1"/>
  <c r="RT21" i="1"/>
  <c r="TQ21" i="1" s="1"/>
  <c r="PE21" i="1"/>
  <c r="PB21" i="1"/>
  <c r="OU21" i="1"/>
  <c r="OY21" i="1" s="1"/>
  <c r="OW21" i="1" s="1"/>
  <c r="OX21" i="1" s="1"/>
  <c r="OR21" i="1"/>
  <c r="OO21" i="1"/>
  <c r="OK21" i="1"/>
  <c r="OJ21" i="1"/>
  <c r="OS21" i="1" s="1"/>
  <c r="OF21" i="1"/>
  <c r="OE21" i="1"/>
  <c r="OC21" i="1"/>
  <c r="OA21" i="1"/>
  <c r="AAY21" i="1" s="1"/>
  <c r="ADH21" i="1" s="1"/>
  <c r="NY21" i="1"/>
  <c r="NX21" i="1"/>
  <c r="VC21" i="1" s="1"/>
  <c r="XX21" i="1" s="1"/>
  <c r="NV21" i="1"/>
  <c r="NT21" i="1"/>
  <c r="NR21" i="1"/>
  <c r="NQ21" i="1"/>
  <c r="VG21" i="1" s="1"/>
  <c r="XZ21" i="1" s="1"/>
  <c r="NO21" i="1"/>
  <c r="NM21" i="1"/>
  <c r="NK21" i="1"/>
  <c r="NJ21" i="1"/>
  <c r="VF21" i="1" s="1"/>
  <c r="NG21" i="1"/>
  <c r="NE21" i="1"/>
  <c r="NC21" i="1"/>
  <c r="NB21" i="1"/>
  <c r="VE21" i="1" s="1"/>
  <c r="YC21" i="1" s="1"/>
  <c r="MZ21" i="1"/>
  <c r="MX21" i="1"/>
  <c r="MU21" i="1"/>
  <c r="VD21" i="1" s="1"/>
  <c r="YB21" i="1" s="1"/>
  <c r="ML21" i="1"/>
  <c r="MN21" i="1" s="1"/>
  <c r="VI21" i="1" s="1"/>
  <c r="MF21" i="1"/>
  <c r="MH21" i="1" s="1"/>
  <c r="MI21" i="1" s="1"/>
  <c r="LZ21" i="1"/>
  <c r="MB21" i="1" s="1"/>
  <c r="MC21" i="1" s="1"/>
  <c r="LT21" i="1"/>
  <c r="LV21" i="1" s="1"/>
  <c r="LQ21" i="1"/>
  <c r="AAZ21" i="1" s="1"/>
  <c r="ADI21" i="1" s="1"/>
  <c r="LO21" i="1"/>
  <c r="AAX21" i="1" s="1"/>
  <c r="ADG21" i="1" s="1"/>
  <c r="LF21" i="1"/>
  <c r="LG21" i="1" s="1"/>
  <c r="KR21" i="1"/>
  <c r="KT21" i="1" s="1"/>
  <c r="KN21" i="1"/>
  <c r="KM21" i="1"/>
  <c r="KK21" i="1"/>
  <c r="KG21" i="1"/>
  <c r="JN21" i="1"/>
  <c r="JO21" i="1" s="1"/>
  <c r="JQ21" i="1" s="1"/>
  <c r="JA21" i="1"/>
  <c r="JC21" i="1" s="1"/>
  <c r="IZ21" i="1"/>
  <c r="II21" i="1"/>
  <c r="IJ21" i="1" s="1"/>
  <c r="IL21" i="1" s="1"/>
  <c r="IM21" i="1" s="1"/>
  <c r="HX21" i="1"/>
  <c r="HZ21" i="1" s="1"/>
  <c r="IA21" i="1" s="1"/>
  <c r="IB21" i="1" s="1"/>
  <c r="ID21" i="1" s="1"/>
  <c r="IE21" i="1" s="1"/>
  <c r="HT21" i="1"/>
  <c r="HU21" i="1" s="1"/>
  <c r="HP21" i="1"/>
  <c r="HR21" i="1" s="1"/>
  <c r="HN21" i="1"/>
  <c r="HJ21" i="1"/>
  <c r="HL21" i="1" s="1"/>
  <c r="HK21" i="1" s="1"/>
  <c r="HD21" i="1"/>
  <c r="HE21" i="1" s="1"/>
  <c r="HF21" i="1" s="1"/>
  <c r="GZ21" i="1"/>
  <c r="HA21" i="1" s="1"/>
  <c r="HB21" i="1" s="1"/>
  <c r="GW21" i="1"/>
  <c r="GX21" i="1" s="1"/>
  <c r="GV21" i="1"/>
  <c r="ZA21" i="1" s="1"/>
  <c r="GR21" i="1"/>
  <c r="GQ21" i="1"/>
  <c r="GP21" i="1"/>
  <c r="FV21" i="1"/>
  <c r="FX21" i="1" s="1"/>
  <c r="FT21" i="1"/>
  <c r="FE21" i="1"/>
  <c r="ER21" i="1"/>
  <c r="EP21" i="1"/>
  <c r="DY21" i="1"/>
  <c r="DW21" i="1"/>
  <c r="DT21" i="1"/>
  <c r="DS21" i="1"/>
  <c r="DO21" i="1"/>
  <c r="DM21" i="1"/>
  <c r="DJ21" i="1"/>
  <c r="DH21" i="1"/>
  <c r="DD21" i="1"/>
  <c r="DC21" i="1"/>
  <c r="CW21" i="1"/>
  <c r="CR21" i="1"/>
  <c r="CT21" i="1" s="1"/>
  <c r="CH21" i="1"/>
  <c r="CD21" i="1"/>
  <c r="CB21" i="1"/>
  <c r="BX21" i="1"/>
  <c r="BW21" i="1"/>
  <c r="BR21" i="1"/>
  <c r="BN21" i="1"/>
  <c r="BF21" i="1"/>
  <c r="BD21" i="1"/>
  <c r="AZ21" i="1"/>
  <c r="BA21" i="1" s="1"/>
  <c r="AY21" i="1"/>
  <c r="AW21" i="1"/>
  <c r="AV21" i="1"/>
  <c r="BH21" i="1" s="1"/>
  <c r="AT21" i="1"/>
  <c r="AK21" i="1"/>
  <c r="AM21" i="1" s="1"/>
  <c r="X21" i="1"/>
  <c r="AC21" i="1" s="1"/>
  <c r="AE21" i="1" s="1"/>
  <c r="V21" i="1"/>
  <c r="R21" i="1"/>
  <c r="O21" i="1"/>
  <c r="J21" i="1"/>
  <c r="JL21" i="1" s="1"/>
  <c r="ADU20" i="1"/>
  <c r="ACU20" i="1"/>
  <c r="ACN20" i="1"/>
  <c r="ACR20" i="1" s="1"/>
  <c r="AAH20" i="1"/>
  <c r="YK20" i="1"/>
  <c r="XO20" i="1"/>
  <c r="XP20" i="1" s="1"/>
  <c r="XM20" i="1"/>
  <c r="XF20" i="1"/>
  <c r="XD20" i="1"/>
  <c r="XC20" i="1"/>
  <c r="TD20" i="1"/>
  <c r="RX20" i="1"/>
  <c r="RT20" i="1"/>
  <c r="TQ20" i="1" s="1"/>
  <c r="OK20" i="1"/>
  <c r="ABS20" i="1" s="1"/>
  <c r="OF20" i="1"/>
  <c r="MN20" i="1"/>
  <c r="ML20" i="1"/>
  <c r="MF20" i="1"/>
  <c r="MH20" i="1" s="1"/>
  <c r="MI20" i="1" s="1"/>
  <c r="LZ20" i="1"/>
  <c r="MB20" i="1" s="1"/>
  <c r="MC20" i="1" s="1"/>
  <c r="LT20" i="1"/>
  <c r="LV20" i="1" s="1"/>
  <c r="LW20" i="1" s="1"/>
  <c r="LF20" i="1"/>
  <c r="II20" i="1"/>
  <c r="HD20" i="1"/>
  <c r="HE20" i="1" s="1"/>
  <c r="HA20" i="1"/>
  <c r="GZ20" i="1"/>
  <c r="GV20" i="1"/>
  <c r="GW20" i="1" s="1"/>
  <c r="GQ20" i="1"/>
  <c r="GR20" i="1" s="1"/>
  <c r="GP20" i="1"/>
  <c r="FV20" i="1"/>
  <c r="FX20" i="1" s="1"/>
  <c r="FT20" i="1"/>
  <c r="FE20" i="1"/>
  <c r="FG20" i="1" s="1"/>
  <c r="EP20" i="1"/>
  <c r="ER20" i="1" s="1"/>
  <c r="DM20" i="1"/>
  <c r="DO20" i="1" s="1"/>
  <c r="CW20" i="1"/>
  <c r="CY20" i="1" s="1"/>
  <c r="CH20" i="1"/>
  <c r="CJ20" i="1" s="1"/>
  <c r="BR20" i="1"/>
  <c r="BN20" i="1"/>
  <c r="BD20" i="1"/>
  <c r="AZ20" i="1"/>
  <c r="BA20" i="1" s="1"/>
  <c r="AW20" i="1"/>
  <c r="AV20" i="1"/>
  <c r="BH20" i="1" s="1"/>
  <c r="BI20" i="1" s="1"/>
  <c r="AT20" i="1"/>
  <c r="AK20" i="1"/>
  <c r="AM20" i="1" s="1"/>
  <c r="X20" i="1"/>
  <c r="Y20" i="1" s="1"/>
  <c r="V20" i="1"/>
  <c r="I20" i="1"/>
  <c r="WM20" i="1" s="1"/>
  <c r="WN20" i="1" s="1"/>
  <c r="ADU19" i="1"/>
  <c r="ACU19" i="1"/>
  <c r="ACN19" i="1"/>
  <c r="ACR19" i="1" s="1"/>
  <c r="AAH19" i="1"/>
  <c r="YK19" i="1"/>
  <c r="XO19" i="1"/>
  <c r="XP19" i="1" s="1"/>
  <c r="XM19" i="1"/>
  <c r="XF19" i="1"/>
  <c r="XD19" i="1" s="1"/>
  <c r="XC19" i="1"/>
  <c r="TD19" i="1"/>
  <c r="RX19" i="1"/>
  <c r="RT19" i="1"/>
  <c r="TQ19" i="1" s="1"/>
  <c r="OK19" i="1"/>
  <c r="ABS19" i="1" s="1"/>
  <c r="OF19" i="1"/>
  <c r="ML19" i="1"/>
  <c r="MN19" i="1" s="1"/>
  <c r="MF19" i="1"/>
  <c r="MH19" i="1" s="1"/>
  <c r="MI19" i="1" s="1"/>
  <c r="LZ19" i="1"/>
  <c r="MB19" i="1" s="1"/>
  <c r="MC19" i="1" s="1"/>
  <c r="LT19" i="1"/>
  <c r="LV19" i="1" s="1"/>
  <c r="LW19" i="1" s="1"/>
  <c r="LF19" i="1"/>
  <c r="II19" i="1"/>
  <c r="HD19" i="1"/>
  <c r="HE19" i="1" s="1"/>
  <c r="HA19" i="1"/>
  <c r="GZ19" i="1"/>
  <c r="GV19" i="1"/>
  <c r="GW19" i="1" s="1"/>
  <c r="GQ19" i="1"/>
  <c r="GR19" i="1" s="1"/>
  <c r="GP19" i="1"/>
  <c r="FV19" i="1"/>
  <c r="FX19" i="1" s="1"/>
  <c r="FT19" i="1"/>
  <c r="FE19" i="1"/>
  <c r="FG19" i="1" s="1"/>
  <c r="EP19" i="1"/>
  <c r="ER19" i="1" s="1"/>
  <c r="DM19" i="1"/>
  <c r="DO19" i="1" s="1"/>
  <c r="CW19" i="1"/>
  <c r="CY19" i="1" s="1"/>
  <c r="CH19" i="1"/>
  <c r="CJ19" i="1" s="1"/>
  <c r="BR19" i="1"/>
  <c r="BN19" i="1"/>
  <c r="BD19" i="1"/>
  <c r="AZ19" i="1"/>
  <c r="BA19" i="1" s="1"/>
  <c r="AW19" i="1"/>
  <c r="AV19" i="1"/>
  <c r="BH19" i="1" s="1"/>
  <c r="AT19" i="1"/>
  <c r="AK19" i="1"/>
  <c r="AM19" i="1" s="1"/>
  <c r="X19" i="1"/>
  <c r="Y19" i="1" s="1"/>
  <c r="V19" i="1"/>
  <c r="Q19" i="1"/>
  <c r="R19" i="1" s="1"/>
  <c r="I19" i="1"/>
  <c r="VB19" i="1" s="1"/>
  <c r="YM19" i="1" s="1"/>
  <c r="ADU18" i="1"/>
  <c r="ACU18" i="1"/>
  <c r="ACN18" i="1"/>
  <c r="AEB18" i="1" s="1"/>
  <c r="AAH18" i="1"/>
  <c r="YK18" i="1"/>
  <c r="XO18" i="1"/>
  <c r="XP18" i="1" s="1"/>
  <c r="XM18" i="1"/>
  <c r="XF18" i="1"/>
  <c r="XD18" i="1" s="1"/>
  <c r="TQ18" i="1"/>
  <c r="UA18" i="1" s="1"/>
  <c r="TD18" i="1"/>
  <c r="RX18" i="1"/>
  <c r="QM18" i="1"/>
  <c r="QK18" i="1" s="1"/>
  <c r="OK18" i="1"/>
  <c r="OF18" i="1"/>
  <c r="ML18" i="1"/>
  <c r="MN18" i="1" s="1"/>
  <c r="MO18" i="1" s="1"/>
  <c r="MF18" i="1"/>
  <c r="MH18" i="1" s="1"/>
  <c r="MI18" i="1" s="1"/>
  <c r="MB18" i="1"/>
  <c r="MC18" i="1" s="1"/>
  <c r="LZ18" i="1"/>
  <c r="LT18" i="1"/>
  <c r="LV18" i="1" s="1"/>
  <c r="LF18" i="1"/>
  <c r="II18" i="1"/>
  <c r="HD18" i="1"/>
  <c r="HE18" i="1" s="1"/>
  <c r="HA18" i="1"/>
  <c r="GZ18" i="1"/>
  <c r="GV18" i="1"/>
  <c r="GQ18" i="1"/>
  <c r="GR18" i="1" s="1"/>
  <c r="GP18" i="1"/>
  <c r="FV18" i="1"/>
  <c r="FX18" i="1" s="1"/>
  <c r="FT18" i="1"/>
  <c r="FE18" i="1"/>
  <c r="FG18" i="1" s="1"/>
  <c r="EP18" i="1"/>
  <c r="ER18" i="1" s="1"/>
  <c r="DM18" i="1"/>
  <c r="DO18" i="1" s="1"/>
  <c r="CW18" i="1"/>
  <c r="CH18" i="1"/>
  <c r="BR18" i="1"/>
  <c r="BN18" i="1"/>
  <c r="BD18" i="1"/>
  <c r="BA18" i="1"/>
  <c r="AZ18" i="1"/>
  <c r="AW18" i="1"/>
  <c r="AV18" i="1"/>
  <c r="BH18" i="1" s="1"/>
  <c r="AT18" i="1"/>
  <c r="AK18" i="1"/>
  <c r="AM18" i="1" s="1"/>
  <c r="X18" i="1"/>
  <c r="Y18" i="1" s="1"/>
  <c r="V18" i="1"/>
  <c r="Q18" i="1"/>
  <c r="I18" i="1"/>
  <c r="ADU17" i="1"/>
  <c r="ACZ17" i="1"/>
  <c r="ACY17" i="1"/>
  <c r="ACU17" i="1"/>
  <c r="ACR17" i="1"/>
  <c r="ACN17" i="1"/>
  <c r="AEB17" i="1" s="1"/>
  <c r="AAH17" i="1"/>
  <c r="YK17" i="1"/>
  <c r="XP17" i="1"/>
  <c r="XO17" i="1"/>
  <c r="XM17" i="1"/>
  <c r="XF17" i="1"/>
  <c r="XD17" i="1" s="1"/>
  <c r="TD17" i="1"/>
  <c r="RX17" i="1"/>
  <c r="RT17" i="1"/>
  <c r="TQ17" i="1" s="1"/>
  <c r="OK17" i="1"/>
  <c r="OF17" i="1"/>
  <c r="ML17" i="1"/>
  <c r="MN17" i="1" s="1"/>
  <c r="MO17" i="1" s="1"/>
  <c r="MF17" i="1"/>
  <c r="MH17" i="1" s="1"/>
  <c r="MI17" i="1" s="1"/>
  <c r="LZ17" i="1"/>
  <c r="MB17" i="1" s="1"/>
  <c r="MC17" i="1" s="1"/>
  <c r="LT17" i="1"/>
  <c r="LV17" i="1" s="1"/>
  <c r="LF17" i="1"/>
  <c r="II17" i="1"/>
  <c r="HD17" i="1"/>
  <c r="HE17" i="1" s="1"/>
  <c r="GZ17" i="1"/>
  <c r="HA17" i="1" s="1"/>
  <c r="GW17" i="1"/>
  <c r="GV17" i="1"/>
  <c r="GR17" i="1"/>
  <c r="GQ17" i="1"/>
  <c r="GP17" i="1"/>
  <c r="FV17" i="1"/>
  <c r="FX17" i="1" s="1"/>
  <c r="FT17" i="1"/>
  <c r="FE17" i="1"/>
  <c r="ER17" i="1"/>
  <c r="EP17" i="1"/>
  <c r="DO17" i="1"/>
  <c r="DM17" i="1"/>
  <c r="CW17" i="1"/>
  <c r="CH17" i="1"/>
  <c r="CJ17" i="1" s="1"/>
  <c r="BR17" i="1"/>
  <c r="BN17" i="1"/>
  <c r="BD17" i="1"/>
  <c r="AZ17" i="1"/>
  <c r="BA17" i="1" s="1"/>
  <c r="AW17" i="1"/>
  <c r="AV17" i="1"/>
  <c r="BH17" i="1" s="1"/>
  <c r="AT17" i="1"/>
  <c r="AK17" i="1"/>
  <c r="AM17" i="1" s="1"/>
  <c r="X17" i="1"/>
  <c r="AC17" i="1" s="1"/>
  <c r="AE17" i="1" s="1"/>
  <c r="V17" i="1"/>
  <c r="I17" i="1"/>
  <c r="ADU16" i="1"/>
  <c r="ACU16" i="1"/>
  <c r="ACN16" i="1"/>
  <c r="AEB16" i="1" s="1"/>
  <c r="AAH16" i="1"/>
  <c r="YK16" i="1"/>
  <c r="XO16" i="1"/>
  <c r="XP16" i="1" s="1"/>
  <c r="XM16" i="1"/>
  <c r="XF16" i="1"/>
  <c r="XD16" i="1" s="1"/>
  <c r="TD16" i="1"/>
  <c r="RX16" i="1"/>
  <c r="RT16" i="1"/>
  <c r="TQ16" i="1" s="1"/>
  <c r="OK16" i="1"/>
  <c r="OF16" i="1"/>
  <c r="MO16" i="1"/>
  <c r="ML16" i="1"/>
  <c r="MN16" i="1" s="1"/>
  <c r="MH16" i="1"/>
  <c r="MI16" i="1" s="1"/>
  <c r="MF16" i="1"/>
  <c r="MC16" i="1"/>
  <c r="LZ16" i="1"/>
  <c r="MB16" i="1" s="1"/>
  <c r="LV16" i="1"/>
  <c r="LT16" i="1"/>
  <c r="LF16" i="1"/>
  <c r="II16" i="1"/>
  <c r="HE16" i="1"/>
  <c r="HD16" i="1"/>
  <c r="GZ16" i="1"/>
  <c r="HA16" i="1" s="1"/>
  <c r="GV16" i="1"/>
  <c r="GW16" i="1" s="1"/>
  <c r="GQ16" i="1"/>
  <c r="GR16" i="1" s="1"/>
  <c r="GP16" i="1"/>
  <c r="FV16" i="1"/>
  <c r="FX16" i="1" s="1"/>
  <c r="FT16" i="1"/>
  <c r="FE16" i="1"/>
  <c r="EP16" i="1"/>
  <c r="ER16" i="1" s="1"/>
  <c r="DM16" i="1"/>
  <c r="DO16" i="1" s="1"/>
  <c r="CW16" i="1"/>
  <c r="CJ16" i="1"/>
  <c r="CH16" i="1"/>
  <c r="BR16" i="1"/>
  <c r="BN16" i="1"/>
  <c r="BD16" i="1"/>
  <c r="AZ16" i="1"/>
  <c r="BA16" i="1" s="1"/>
  <c r="AW16" i="1"/>
  <c r="AV16" i="1"/>
  <c r="BH16" i="1" s="1"/>
  <c r="AT16" i="1"/>
  <c r="AK16" i="1"/>
  <c r="AM16" i="1" s="1"/>
  <c r="X16" i="1"/>
  <c r="AC16" i="1" s="1"/>
  <c r="AE16" i="1" s="1"/>
  <c r="V16" i="1"/>
  <c r="I16" i="1"/>
  <c r="ADU15" i="1"/>
  <c r="ACZ15" i="1"/>
  <c r="ACU15" i="1"/>
  <c r="ACN15" i="1"/>
  <c r="AAH15" i="1"/>
  <c r="YK15" i="1"/>
  <c r="XO15" i="1"/>
  <c r="XP15" i="1" s="1"/>
  <c r="XM15" i="1"/>
  <c r="XF15" i="1"/>
  <c r="XD15" i="1"/>
  <c r="XC15" i="1"/>
  <c r="TQ15" i="1"/>
  <c r="UA15" i="1" s="1"/>
  <c r="TD15" i="1"/>
  <c r="RX15" i="1"/>
  <c r="OK15" i="1"/>
  <c r="OF15" i="1"/>
  <c r="ML15" i="1"/>
  <c r="MN15" i="1" s="1"/>
  <c r="MH15" i="1"/>
  <c r="MI15" i="1" s="1"/>
  <c r="MF15" i="1"/>
  <c r="LZ15" i="1"/>
  <c r="MB15" i="1" s="1"/>
  <c r="MC15" i="1" s="1"/>
  <c r="LT15" i="1"/>
  <c r="LV15" i="1" s="1"/>
  <c r="LF15" i="1"/>
  <c r="II15" i="1"/>
  <c r="HD15" i="1"/>
  <c r="HE15" i="1" s="1"/>
  <c r="HF15" i="1" s="1"/>
  <c r="GZ15" i="1"/>
  <c r="GW15" i="1"/>
  <c r="GV15" i="1"/>
  <c r="ZA15" i="1" s="1"/>
  <c r="GR15" i="1"/>
  <c r="GQ15" i="1"/>
  <c r="GP15" i="1"/>
  <c r="BR15" i="1"/>
  <c r="BN15" i="1"/>
  <c r="BD15" i="1"/>
  <c r="BA15" i="1"/>
  <c r="AZ15" i="1"/>
  <c r="AW15" i="1"/>
  <c r="AV15" i="1"/>
  <c r="BH15" i="1" s="1"/>
  <c r="AT15" i="1"/>
  <c r="AM15" i="1"/>
  <c r="AK15" i="1"/>
  <c r="X15" i="1"/>
  <c r="Y15" i="1" s="1"/>
  <c r="V15" i="1"/>
  <c r="I15" i="1"/>
  <c r="WM15" i="1" s="1"/>
  <c r="WN15" i="1" s="1"/>
  <c r="ADU14" i="1"/>
  <c r="ACU14" i="1"/>
  <c r="ACN14" i="1"/>
  <c r="ACR14" i="1" s="1"/>
  <c r="AAH14" i="1"/>
  <c r="YK14" i="1"/>
  <c r="XO14" i="1"/>
  <c r="XP14" i="1" s="1"/>
  <c r="XM14" i="1"/>
  <c r="XF14" i="1"/>
  <c r="XD14" i="1"/>
  <c r="XC14" i="1"/>
  <c r="TQ14" i="1"/>
  <c r="TD14" i="1"/>
  <c r="RX14" i="1"/>
  <c r="OK14" i="1"/>
  <c r="OF14" i="1"/>
  <c r="ML14" i="1"/>
  <c r="MN14" i="1" s="1"/>
  <c r="MO14" i="1" s="1"/>
  <c r="ABJ14" i="1" s="1"/>
  <c r="MF14" i="1"/>
  <c r="MH14" i="1" s="1"/>
  <c r="MI14" i="1" s="1"/>
  <c r="LZ14" i="1"/>
  <c r="MB14" i="1" s="1"/>
  <c r="MC14" i="1" s="1"/>
  <c r="LT14" i="1"/>
  <c r="LV14" i="1" s="1"/>
  <c r="LF14" i="1"/>
  <c r="II14" i="1"/>
  <c r="HD14" i="1"/>
  <c r="HE14" i="1" s="1"/>
  <c r="HF14" i="1" s="1"/>
  <c r="GZ14" i="1"/>
  <c r="GV14" i="1"/>
  <c r="GU14" i="1"/>
  <c r="GQ14" i="1"/>
  <c r="GR14" i="1" s="1"/>
  <c r="GP14" i="1"/>
  <c r="FV14" i="1"/>
  <c r="FX14" i="1" s="1"/>
  <c r="FT14" i="1"/>
  <c r="FE14" i="1"/>
  <c r="FG14" i="1" s="1"/>
  <c r="EP14" i="1"/>
  <c r="ER14" i="1" s="1"/>
  <c r="DM14" i="1"/>
  <c r="DO14" i="1" s="1"/>
  <c r="CW14" i="1"/>
  <c r="CY14" i="1" s="1"/>
  <c r="CH14" i="1"/>
  <c r="CJ14" i="1" s="1"/>
  <c r="BR14" i="1"/>
  <c r="BN14" i="1"/>
  <c r="BD14" i="1"/>
  <c r="AZ14" i="1"/>
  <c r="BA14" i="1" s="1"/>
  <c r="AW14" i="1"/>
  <c r="AV14" i="1"/>
  <c r="BH14" i="1" s="1"/>
  <c r="AT14" i="1"/>
  <c r="AS14" i="1"/>
  <c r="AK14" i="1"/>
  <c r="AM14" i="1" s="1"/>
  <c r="AI14" i="1"/>
  <c r="AC14" i="1"/>
  <c r="X14" i="1"/>
  <c r="Y14" i="1" s="1"/>
  <c r="V14" i="1"/>
  <c r="J14" i="1"/>
  <c r="I14" i="1"/>
  <c r="WM14" i="1" s="1"/>
  <c r="WN14" i="1" s="1"/>
  <c r="ADU13" i="1"/>
  <c r="ACU13" i="1"/>
  <c r="ACN13" i="1"/>
  <c r="ACR13" i="1" s="1"/>
  <c r="AAH13" i="1"/>
  <c r="YK13" i="1"/>
  <c r="XO13" i="1"/>
  <c r="XP13" i="1" s="1"/>
  <c r="XM13" i="1"/>
  <c r="XF13" i="1"/>
  <c r="XD13" i="1" s="1"/>
  <c r="XC13" i="1"/>
  <c r="TQ13" i="1"/>
  <c r="UA13" i="1" s="1"/>
  <c r="TD13" i="1"/>
  <c r="RX13" i="1"/>
  <c r="OK13" i="1"/>
  <c r="ABS13" i="1" s="1"/>
  <c r="OF13" i="1"/>
  <c r="ML13" i="1"/>
  <c r="MN13" i="1" s="1"/>
  <c r="MF13" i="1"/>
  <c r="MH13" i="1" s="1"/>
  <c r="MI13" i="1" s="1"/>
  <c r="LZ13" i="1"/>
  <c r="MB13" i="1" s="1"/>
  <c r="MC13" i="1" s="1"/>
  <c r="LV13" i="1"/>
  <c r="LT13" i="1"/>
  <c r="LF13" i="1"/>
  <c r="II13" i="1"/>
  <c r="HD13" i="1"/>
  <c r="HE13" i="1" s="1"/>
  <c r="HF13" i="1" s="1"/>
  <c r="GZ13" i="1"/>
  <c r="GV13" i="1"/>
  <c r="GU13" i="1"/>
  <c r="GQ13" i="1"/>
  <c r="GR13" i="1" s="1"/>
  <c r="GS13" i="1" s="1"/>
  <c r="GP13" i="1"/>
  <c r="FX13" i="1"/>
  <c r="FV13" i="1"/>
  <c r="FT13" i="1"/>
  <c r="FE13" i="1"/>
  <c r="FG13" i="1" s="1"/>
  <c r="EP13" i="1"/>
  <c r="ER13" i="1" s="1"/>
  <c r="DM13" i="1"/>
  <c r="DO13" i="1" s="1"/>
  <c r="CW13" i="1"/>
  <c r="CY13" i="1" s="1"/>
  <c r="CH13" i="1"/>
  <c r="CJ13" i="1" s="1"/>
  <c r="BR13" i="1"/>
  <c r="BN13" i="1"/>
  <c r="BD13" i="1"/>
  <c r="AZ13" i="1"/>
  <c r="BA13" i="1" s="1"/>
  <c r="AW13" i="1"/>
  <c r="AV13" i="1"/>
  <c r="BH13" i="1" s="1"/>
  <c r="BI13" i="1" s="1"/>
  <c r="AT13" i="1"/>
  <c r="AS13" i="1"/>
  <c r="AK13" i="1"/>
  <c r="AM13" i="1" s="1"/>
  <c r="AI13" i="1"/>
  <c r="X13" i="1"/>
  <c r="Y13" i="1" s="1"/>
  <c r="V13" i="1"/>
  <c r="I13" i="1"/>
  <c r="WM13" i="1" s="1"/>
  <c r="WN13" i="1" s="1"/>
  <c r="ADU12" i="1"/>
  <c r="ACU12" i="1"/>
  <c r="ACN12" i="1"/>
  <c r="ACR12" i="1" s="1"/>
  <c r="AAH12" i="1"/>
  <c r="YK12" i="1"/>
  <c r="XO12" i="1"/>
  <c r="XP12" i="1" s="1"/>
  <c r="XM12" i="1"/>
  <c r="XF12" i="1"/>
  <c r="XD12" i="1" s="1"/>
  <c r="XC12" i="1"/>
  <c r="TQ12" i="1"/>
  <c r="QU12" i="1" s="1"/>
  <c r="TD12" i="1"/>
  <c r="RX12" i="1"/>
  <c r="OK12" i="1"/>
  <c r="OF12" i="1"/>
  <c r="ML12" i="1"/>
  <c r="MN12" i="1" s="1"/>
  <c r="MF12" i="1"/>
  <c r="MH12" i="1" s="1"/>
  <c r="MI12" i="1" s="1"/>
  <c r="LZ12" i="1"/>
  <c r="MB12" i="1" s="1"/>
  <c r="MC12" i="1" s="1"/>
  <c r="LV12" i="1"/>
  <c r="LT12" i="1"/>
  <c r="LF12" i="1"/>
  <c r="II12" i="1"/>
  <c r="HE12" i="1"/>
  <c r="HF12" i="1" s="1"/>
  <c r="HD12" i="1"/>
  <c r="GZ12" i="1"/>
  <c r="AAS12" i="1" s="1"/>
  <c r="GV12" i="1"/>
  <c r="GW12" i="1" s="1"/>
  <c r="GX12" i="1" s="1"/>
  <c r="GQ12" i="1"/>
  <c r="GR12" i="1" s="1"/>
  <c r="GP12" i="1"/>
  <c r="BR12" i="1"/>
  <c r="BN12" i="1"/>
  <c r="BD12" i="1"/>
  <c r="AZ12" i="1"/>
  <c r="BA12" i="1" s="1"/>
  <c r="AW12" i="1"/>
  <c r="AV12" i="1"/>
  <c r="BH12" i="1" s="1"/>
  <c r="ZB12" i="1" s="1"/>
  <c r="AT12" i="1"/>
  <c r="AS12" i="1"/>
  <c r="AK12" i="1"/>
  <c r="AM12" i="1" s="1"/>
  <c r="AI12" i="1"/>
  <c r="Y12" i="1"/>
  <c r="X12" i="1"/>
  <c r="AC12" i="1" s="1"/>
  <c r="V12" i="1"/>
  <c r="I12" i="1"/>
  <c r="WM12" i="1" s="1"/>
  <c r="WN12" i="1" s="1"/>
  <c r="ADU11" i="1"/>
  <c r="ACU11" i="1"/>
  <c r="ACR11" i="1"/>
  <c r="ACN11" i="1"/>
  <c r="AEB11" i="1" s="1"/>
  <c r="AAH11" i="1"/>
  <c r="YK11" i="1"/>
  <c r="XO11" i="1"/>
  <c r="XP11" i="1" s="1"/>
  <c r="XM11" i="1"/>
  <c r="XF11" i="1"/>
  <c r="XD11" i="1" s="1"/>
  <c r="TQ11" i="1"/>
  <c r="QU11" i="1" s="1"/>
  <c r="TD11" i="1"/>
  <c r="RX11" i="1"/>
  <c r="OK11" i="1"/>
  <c r="OF11" i="1"/>
  <c r="ML11" i="1"/>
  <c r="MN11" i="1" s="1"/>
  <c r="MO11" i="1" s="1"/>
  <c r="MF11" i="1"/>
  <c r="MH11" i="1" s="1"/>
  <c r="MI11" i="1" s="1"/>
  <c r="MB11" i="1"/>
  <c r="MC11" i="1" s="1"/>
  <c r="LZ11" i="1"/>
  <c r="LT11" i="1"/>
  <c r="LV11" i="1" s="1"/>
  <c r="LF11" i="1"/>
  <c r="II11" i="1"/>
  <c r="HD11" i="1"/>
  <c r="HE11" i="1" s="1"/>
  <c r="GZ11" i="1"/>
  <c r="HA11" i="1" s="1"/>
  <c r="HB11" i="1" s="1"/>
  <c r="GV11" i="1"/>
  <c r="GQ11" i="1"/>
  <c r="GR11" i="1" s="1"/>
  <c r="GP11" i="1"/>
  <c r="BR11" i="1"/>
  <c r="BN11" i="1"/>
  <c r="BD11" i="1"/>
  <c r="AZ11" i="1"/>
  <c r="BA11" i="1" s="1"/>
  <c r="AW11" i="1"/>
  <c r="AV11" i="1"/>
  <c r="BH11" i="1" s="1"/>
  <c r="AT11" i="1"/>
  <c r="AS11" i="1"/>
  <c r="AK11" i="1"/>
  <c r="AM11" i="1" s="1"/>
  <c r="AI11" i="1"/>
  <c r="X11" i="1"/>
  <c r="Y11" i="1" s="1"/>
  <c r="V11" i="1"/>
  <c r="I11" i="1"/>
  <c r="UN11" i="1" s="1"/>
  <c r="ADU10" i="1"/>
  <c r="ACU10" i="1"/>
  <c r="ACN10" i="1"/>
  <c r="ACR10" i="1" s="1"/>
  <c r="AAY10" i="1"/>
  <c r="ADH10" i="1" s="1"/>
  <c r="AAH10" i="1"/>
  <c r="ZG10" i="1"/>
  <c r="ZC10" i="1"/>
  <c r="YK10" i="1"/>
  <c r="XO10" i="1"/>
  <c r="XP10" i="1" s="1"/>
  <c r="XM10" i="1"/>
  <c r="XF10" i="1"/>
  <c r="XD10" i="1"/>
  <c r="XC10" i="1"/>
  <c r="WT10" i="1"/>
  <c r="WM10" i="1"/>
  <c r="WN10" i="1" s="1"/>
  <c r="VM10" i="1"/>
  <c r="YE10" i="1" s="1"/>
  <c r="VF10" i="1"/>
  <c r="YP10" i="1" s="1"/>
  <c r="VB10" i="1"/>
  <c r="YM10" i="1" s="1"/>
  <c r="UO10" i="1"/>
  <c r="UQ10" i="1" s="1"/>
  <c r="UN10" i="1"/>
  <c r="UD10" i="1"/>
  <c r="UC10" i="1"/>
  <c r="TQ10" i="1"/>
  <c r="QU10" i="1" s="1"/>
  <c r="QV10" i="1" s="1"/>
  <c r="TM10" i="1"/>
  <c r="TD10" i="1"/>
  <c r="SZ10" i="1"/>
  <c r="SX10" i="1"/>
  <c r="RY10" i="1"/>
  <c r="RX10" i="1"/>
  <c r="RU10" i="1"/>
  <c r="UI10" i="1" s="1"/>
  <c r="UJ10" i="1" s="1"/>
  <c r="PE10" i="1"/>
  <c r="PB10" i="1"/>
  <c r="PC10" i="1" s="1"/>
  <c r="OU10" i="1"/>
  <c r="OY10" i="1" s="1"/>
  <c r="OW10" i="1" s="1"/>
  <c r="OR10" i="1"/>
  <c r="OO10" i="1"/>
  <c r="OK10" i="1"/>
  <c r="OL10" i="1" s="1"/>
  <c r="OM10" i="1" s="1"/>
  <c r="OJ10" i="1"/>
  <c r="OF10" i="1"/>
  <c r="OE10" i="1"/>
  <c r="OC10" i="1"/>
  <c r="OA10" i="1"/>
  <c r="NY10" i="1"/>
  <c r="NX10" i="1"/>
  <c r="VC10" i="1" s="1"/>
  <c r="XX10" i="1" s="1"/>
  <c r="NV10" i="1"/>
  <c r="NT10" i="1"/>
  <c r="ABG10" i="1" s="1"/>
  <c r="ADK10" i="1" s="1"/>
  <c r="NR10" i="1"/>
  <c r="NQ10" i="1"/>
  <c r="VG10" i="1" s="1"/>
  <c r="XZ10" i="1" s="1"/>
  <c r="NO10" i="1"/>
  <c r="NM10" i="1"/>
  <c r="ZF10" i="1" s="1"/>
  <c r="NK10" i="1"/>
  <c r="NJ10" i="1"/>
  <c r="NG10" i="1"/>
  <c r="NE10" i="1"/>
  <c r="ABB10" i="1" s="1"/>
  <c r="ADN10" i="1" s="1"/>
  <c r="NC10" i="1"/>
  <c r="NB10" i="1"/>
  <c r="VE10" i="1" s="1"/>
  <c r="YC10" i="1" s="1"/>
  <c r="MZ10" i="1"/>
  <c r="MX10" i="1"/>
  <c r="ZD10" i="1" s="1"/>
  <c r="MV10" i="1"/>
  <c r="MU10" i="1"/>
  <c r="VD10" i="1" s="1"/>
  <c r="YB10" i="1" s="1"/>
  <c r="ML10" i="1"/>
  <c r="MN10" i="1" s="1"/>
  <c r="MF10" i="1"/>
  <c r="MH10" i="1" s="1"/>
  <c r="MI10" i="1" s="1"/>
  <c r="LZ10" i="1"/>
  <c r="MB10" i="1" s="1"/>
  <c r="MC10" i="1" s="1"/>
  <c r="LV10" i="1"/>
  <c r="LT10" i="1"/>
  <c r="LQ10" i="1"/>
  <c r="AAZ10" i="1" s="1"/>
  <c r="ADI10" i="1" s="1"/>
  <c r="LO10" i="1"/>
  <c r="AAX10" i="1" s="1"/>
  <c r="ADG10" i="1" s="1"/>
  <c r="LG10" i="1"/>
  <c r="LF10" i="1"/>
  <c r="KR10" i="1"/>
  <c r="KT10" i="1" s="1"/>
  <c r="KM10" i="1"/>
  <c r="KN10" i="1" s="1"/>
  <c r="KK10" i="1"/>
  <c r="KG10" i="1"/>
  <c r="KH10" i="1" s="1"/>
  <c r="JN10" i="1"/>
  <c r="JO10" i="1" s="1"/>
  <c r="JA10" i="1"/>
  <c r="IZ10" i="1"/>
  <c r="IJ10" i="1"/>
  <c r="IK10" i="1" s="1"/>
  <c r="II10" i="1"/>
  <c r="HX10" i="1"/>
  <c r="HZ10" i="1" s="1"/>
  <c r="HT10" i="1"/>
  <c r="HU10" i="1" s="1"/>
  <c r="HP10" i="1"/>
  <c r="HR10" i="1" s="1"/>
  <c r="HN10" i="1"/>
  <c r="HJ10" i="1"/>
  <c r="HL10" i="1" s="1"/>
  <c r="HK10" i="1" s="1"/>
  <c r="HD10" i="1"/>
  <c r="HE10" i="1" s="1"/>
  <c r="HF10" i="1" s="1"/>
  <c r="GZ10" i="1"/>
  <c r="AAS10" i="1" s="1"/>
  <c r="GW10" i="1"/>
  <c r="GX10" i="1" s="1"/>
  <c r="GV10" i="1"/>
  <c r="ZA10" i="1" s="1"/>
  <c r="GR10" i="1"/>
  <c r="GQ10" i="1"/>
  <c r="GP10" i="1"/>
  <c r="VA10" i="1" s="1"/>
  <c r="GB10" i="1"/>
  <c r="GC10" i="1" s="1"/>
  <c r="FV10" i="1"/>
  <c r="FX10" i="1" s="1"/>
  <c r="FT10" i="1"/>
  <c r="FE10" i="1"/>
  <c r="EP10" i="1"/>
  <c r="DW10" i="1"/>
  <c r="DY10" i="1" s="1"/>
  <c r="DS10" i="1"/>
  <c r="DT10" i="1" s="1"/>
  <c r="DM10" i="1"/>
  <c r="DJ10" i="1"/>
  <c r="DH10" i="1"/>
  <c r="DD10" i="1"/>
  <c r="DC10" i="1"/>
  <c r="CW10" i="1"/>
  <c r="CR10" i="1"/>
  <c r="CT10" i="1" s="1"/>
  <c r="CH10" i="1"/>
  <c r="CD10" i="1"/>
  <c r="CB10" i="1"/>
  <c r="BX10" i="1"/>
  <c r="BW10" i="1"/>
  <c r="BR10" i="1"/>
  <c r="BN10" i="1"/>
  <c r="BF10" i="1"/>
  <c r="BD10" i="1"/>
  <c r="AZ10" i="1"/>
  <c r="BA10" i="1" s="1"/>
  <c r="AY10" i="1"/>
  <c r="AW10" i="1"/>
  <c r="AV10" i="1"/>
  <c r="BH10" i="1" s="1"/>
  <c r="ZB10" i="1" s="1"/>
  <c r="AT10" i="1"/>
  <c r="AS10" i="1"/>
  <c r="AK10" i="1"/>
  <c r="AM10" i="1" s="1"/>
  <c r="AI10" i="1"/>
  <c r="Y10" i="1"/>
  <c r="X10" i="1"/>
  <c r="AC10" i="1" s="1"/>
  <c r="V10" i="1"/>
  <c r="R10" i="1"/>
  <c r="O10" i="1"/>
  <c r="J10" i="1"/>
  <c r="JL10" i="1" s="1"/>
  <c r="ADU9" i="1"/>
  <c r="ACU9" i="1"/>
  <c r="ACN9" i="1"/>
  <c r="ACR9" i="1" s="1"/>
  <c r="AAH9" i="1"/>
  <c r="YK9" i="1"/>
  <c r="XO9" i="1"/>
  <c r="XP9" i="1" s="1"/>
  <c r="XM9" i="1"/>
  <c r="XF9" i="1"/>
  <c r="XD9" i="1"/>
  <c r="XC9" i="1"/>
  <c r="TQ9" i="1"/>
  <c r="QU9" i="1" s="1"/>
  <c r="TD9" i="1"/>
  <c r="RX9" i="1"/>
  <c r="OK9" i="1"/>
  <c r="OF9" i="1"/>
  <c r="ML9" i="1"/>
  <c r="MN9" i="1" s="1"/>
  <c r="MH9" i="1"/>
  <c r="MI9" i="1" s="1"/>
  <c r="MF9" i="1"/>
  <c r="LZ9" i="1"/>
  <c r="MB9" i="1" s="1"/>
  <c r="MC9" i="1" s="1"/>
  <c r="LT9" i="1"/>
  <c r="LV9" i="1" s="1"/>
  <c r="MP9" i="1" s="1"/>
  <c r="MQ9" i="1" s="1"/>
  <c r="LF9" i="1"/>
  <c r="II9" i="1"/>
  <c r="HD9" i="1"/>
  <c r="HE9" i="1" s="1"/>
  <c r="HF9" i="1" s="1"/>
  <c r="GZ9" i="1"/>
  <c r="GW9" i="1"/>
  <c r="GX9" i="1" s="1"/>
  <c r="GV9" i="1"/>
  <c r="GR9" i="1"/>
  <c r="GQ9" i="1"/>
  <c r="GP9" i="1"/>
  <c r="VA9" i="1" s="1"/>
  <c r="BR9" i="1"/>
  <c r="BN9" i="1"/>
  <c r="BD9" i="1"/>
  <c r="AZ9" i="1"/>
  <c r="BA9" i="1" s="1"/>
  <c r="AW9" i="1"/>
  <c r="AV9" i="1"/>
  <c r="BH9" i="1" s="1"/>
  <c r="ZB9" i="1" s="1"/>
  <c r="AT9" i="1"/>
  <c r="AK9" i="1"/>
  <c r="AM9" i="1" s="1"/>
  <c r="Y9" i="1"/>
  <c r="X9" i="1"/>
  <c r="AC9" i="1" s="1"/>
  <c r="V9" i="1"/>
  <c r="I9" i="1"/>
  <c r="WM9" i="1" s="1"/>
  <c r="WN9" i="1" s="1"/>
  <c r="IN6" i="1"/>
  <c r="AAS9" i="1" l="1"/>
  <c r="OL9" i="1"/>
  <c r="GF10" i="1"/>
  <c r="GH10" i="1" s="1"/>
  <c r="IQ10" i="1"/>
  <c r="IR10" i="1" s="1"/>
  <c r="KB10" i="1"/>
  <c r="KC10" i="1" s="1"/>
  <c r="OS10" i="1"/>
  <c r="TN10" i="1"/>
  <c r="UG10" i="1"/>
  <c r="UF10" i="1"/>
  <c r="ZE10" i="1"/>
  <c r="ABA10" i="1"/>
  <c r="ADM10" i="1" s="1"/>
  <c r="J11" i="1"/>
  <c r="KB11" i="1" s="1"/>
  <c r="KC11" i="1" s="1"/>
  <c r="AY11" i="1"/>
  <c r="BF11" i="1"/>
  <c r="CB11" i="1"/>
  <c r="CD11" i="1" s="1"/>
  <c r="CI11" i="1"/>
  <c r="DL11" i="1"/>
  <c r="DM11" i="1" s="1"/>
  <c r="DO11" i="1" s="1"/>
  <c r="DS11" i="1"/>
  <c r="DT11" i="1" s="1"/>
  <c r="EB11" i="1"/>
  <c r="ZA11" i="1"/>
  <c r="HN11" i="1"/>
  <c r="JB11" i="1"/>
  <c r="NB11" i="1"/>
  <c r="NC11" i="1" s="1"/>
  <c r="NQ11" i="1"/>
  <c r="NR11" i="1" s="1"/>
  <c r="OE11" i="1"/>
  <c r="OJ11" i="1"/>
  <c r="OM11" i="1" s="1"/>
  <c r="OL11" i="1"/>
  <c r="ZH19" i="1"/>
  <c r="IX10" i="1"/>
  <c r="JU10" i="1"/>
  <c r="JV10" i="1" s="1"/>
  <c r="ABD10" i="1"/>
  <c r="WT11" i="1"/>
  <c r="VM11" i="1"/>
  <c r="YE11" i="1" s="1"/>
  <c r="UC11" i="1"/>
  <c r="TM11" i="1"/>
  <c r="SZ11" i="1"/>
  <c r="RU11" i="1"/>
  <c r="OO11" i="1"/>
  <c r="OR11" i="1" s="1"/>
  <c r="OA11" i="1"/>
  <c r="AAY11" i="1" s="1"/>
  <c r="ADH11" i="1" s="1"/>
  <c r="NT11" i="1"/>
  <c r="ZG11" i="1" s="1"/>
  <c r="NM11" i="1"/>
  <c r="ABD11" i="1" s="1"/>
  <c r="NE11" i="1"/>
  <c r="ZE11" i="1" s="1"/>
  <c r="MX11" i="1"/>
  <c r="ABA11" i="1" s="1"/>
  <c r="ADM11" i="1" s="1"/>
  <c r="LO11" i="1"/>
  <c r="AAX11" i="1" s="1"/>
  <c r="ADG11" i="1" s="1"/>
  <c r="KM11" i="1"/>
  <c r="KN11" i="1" s="1"/>
  <c r="IZ11" i="1"/>
  <c r="JA11" i="1" s="1"/>
  <c r="JC11" i="1" s="1"/>
  <c r="R11" i="1"/>
  <c r="BW11" i="1"/>
  <c r="BX11" i="1" s="1"/>
  <c r="CG11" i="1"/>
  <c r="CR11" i="1"/>
  <c r="CT11" i="1" s="1"/>
  <c r="DN11" i="1"/>
  <c r="DW11" i="1"/>
  <c r="DY11" i="1" s="1"/>
  <c r="FF11" i="1"/>
  <c r="AAS11" i="1"/>
  <c r="ADV11" i="1" s="1"/>
  <c r="HF11" i="1"/>
  <c r="MU11" i="1"/>
  <c r="VD11" i="1" s="1"/>
  <c r="YB11" i="1" s="1"/>
  <c r="NJ11" i="1"/>
  <c r="VF11" i="1" s="1"/>
  <c r="NX11" i="1"/>
  <c r="NY11" i="1" s="1"/>
  <c r="UA11" i="1"/>
  <c r="QM11" i="1"/>
  <c r="QK11" i="1" s="1"/>
  <c r="WM11" i="1"/>
  <c r="WN11" i="1" s="1"/>
  <c r="MP12" i="1"/>
  <c r="MQ12" i="1" s="1"/>
  <c r="ABS12" i="1"/>
  <c r="R13" i="1"/>
  <c r="CB13" i="1"/>
  <c r="CI13" i="1"/>
  <c r="DC13" i="1"/>
  <c r="DD13" i="1" s="1"/>
  <c r="DS13" i="1"/>
  <c r="DT13" i="1" s="1"/>
  <c r="EB13" i="1"/>
  <c r="FF13" i="1"/>
  <c r="HJ13" i="1"/>
  <c r="HL13" i="1" s="1"/>
  <c r="HK13" i="1" s="1"/>
  <c r="HP13" i="1"/>
  <c r="HR13" i="1" s="1"/>
  <c r="HX13" i="1"/>
  <c r="HZ13" i="1" s="1"/>
  <c r="IA13" i="1" s="1"/>
  <c r="IB13" i="1" s="1"/>
  <c r="ID13" i="1" s="1"/>
  <c r="IE13" i="1" s="1"/>
  <c r="JN13" i="1"/>
  <c r="JO13" i="1" s="1"/>
  <c r="JQ13" i="1" s="1"/>
  <c r="JW13" i="1"/>
  <c r="KG13" i="1"/>
  <c r="KR13" i="1"/>
  <c r="KT13" i="1" s="1"/>
  <c r="LQ13" i="1"/>
  <c r="AAZ13" i="1" s="1"/>
  <c r="ADI13" i="1" s="1"/>
  <c r="VI13" i="1"/>
  <c r="NG13" i="1"/>
  <c r="NV13" i="1"/>
  <c r="OU13" i="1"/>
  <c r="OY13" i="1" s="1"/>
  <c r="PE13" i="1"/>
  <c r="RY13" i="1"/>
  <c r="VB13" i="1"/>
  <c r="YM13" i="1" s="1"/>
  <c r="R14" i="1"/>
  <c r="AY14" i="1"/>
  <c r="BF14" i="1"/>
  <c r="CB14" i="1"/>
  <c r="CI14" i="1"/>
  <c r="DC14" i="1"/>
  <c r="DD14" i="1" s="1"/>
  <c r="DS14" i="1"/>
  <c r="DT14" i="1" s="1"/>
  <c r="EB14" i="1"/>
  <c r="EQ14" i="1"/>
  <c r="FF14" i="1"/>
  <c r="ZA14" i="1"/>
  <c r="HP14" i="1"/>
  <c r="HR14" i="1" s="1"/>
  <c r="HX14" i="1"/>
  <c r="HZ14" i="1" s="1"/>
  <c r="IA14" i="1" s="1"/>
  <c r="IB14" i="1" s="1"/>
  <c r="IJ14" i="1"/>
  <c r="IK14" i="1" s="1"/>
  <c r="JP14" i="1"/>
  <c r="KG14" i="1"/>
  <c r="KR14" i="1"/>
  <c r="KT14" i="1" s="1"/>
  <c r="LQ14" i="1"/>
  <c r="AAZ14" i="1" s="1"/>
  <c r="ADI14" i="1" s="1"/>
  <c r="NG14" i="1"/>
  <c r="NV14" i="1"/>
  <c r="OU14" i="1"/>
  <c r="OY14" i="1" s="1"/>
  <c r="PE14" i="1"/>
  <c r="RY14" i="1"/>
  <c r="UO14" i="1"/>
  <c r="UQ14" i="1" s="1"/>
  <c r="WT14" i="1"/>
  <c r="R15" i="1"/>
  <c r="AY15" i="1"/>
  <c r="BF15" i="1"/>
  <c r="CB15" i="1"/>
  <c r="DC15" i="1"/>
  <c r="DD15" i="1" s="1"/>
  <c r="GX15" i="1"/>
  <c r="HJ15" i="1"/>
  <c r="HL15" i="1" s="1"/>
  <c r="HK15" i="1" s="1"/>
  <c r="HP15" i="1"/>
  <c r="HR15" i="1" s="1"/>
  <c r="HX15" i="1"/>
  <c r="HZ15" i="1" s="1"/>
  <c r="IA15" i="1" s="1"/>
  <c r="IB15" i="1" s="1"/>
  <c r="ID15" i="1" s="1"/>
  <c r="IE15" i="1" s="1"/>
  <c r="JN15" i="1"/>
  <c r="JO15" i="1" s="1"/>
  <c r="JQ15" i="1" s="1"/>
  <c r="KG15" i="1"/>
  <c r="KR15" i="1"/>
  <c r="KT15" i="1" s="1"/>
  <c r="LG15" i="1"/>
  <c r="MZ15" i="1"/>
  <c r="NO15" i="1"/>
  <c r="OC15" i="1"/>
  <c r="OL15" i="1"/>
  <c r="PB15" i="1"/>
  <c r="PC15" i="1" s="1"/>
  <c r="SX15" i="1"/>
  <c r="UO15" i="1"/>
  <c r="UQ15" i="1" s="1"/>
  <c r="WT15" i="1"/>
  <c r="ABS15" i="1"/>
  <c r="HB16" i="1"/>
  <c r="HB17" i="1"/>
  <c r="AC18" i="1"/>
  <c r="VA18" i="1"/>
  <c r="HF18" i="1"/>
  <c r="QU18" i="1"/>
  <c r="XC18" i="1"/>
  <c r="ACR18" i="1"/>
  <c r="O19" i="1"/>
  <c r="AY19" i="1"/>
  <c r="BF19" i="1"/>
  <c r="EB19" i="1"/>
  <c r="EQ19" i="1"/>
  <c r="FF19" i="1"/>
  <c r="HN19" i="1"/>
  <c r="IZ19" i="1"/>
  <c r="JA19" i="1" s="1"/>
  <c r="JC19" i="1" s="1"/>
  <c r="LO19" i="1"/>
  <c r="AAX19" i="1" s="1"/>
  <c r="ADG19" i="1" s="1"/>
  <c r="NE19" i="1"/>
  <c r="ABB19" i="1" s="1"/>
  <c r="ADN19" i="1" s="1"/>
  <c r="NT19" i="1"/>
  <c r="ABG19" i="1" s="1"/>
  <c r="ADK19" i="1" s="1"/>
  <c r="OO19" i="1"/>
  <c r="OR19" i="1" s="1"/>
  <c r="SX19" i="1"/>
  <c r="UO19" i="1"/>
  <c r="UQ19" i="1" s="1"/>
  <c r="WT19" i="1"/>
  <c r="J20" i="1"/>
  <c r="AC20" i="1"/>
  <c r="AY20" i="1"/>
  <c r="BJ20" i="1" s="1"/>
  <c r="BF20" i="1"/>
  <c r="BW20" i="1"/>
  <c r="BX20" i="1" s="1"/>
  <c r="CR20" i="1"/>
  <c r="CT20" i="1" s="1"/>
  <c r="CX20" i="1"/>
  <c r="DH20" i="1"/>
  <c r="DJ20" i="1" s="1"/>
  <c r="DN20" i="1"/>
  <c r="DW20" i="1"/>
  <c r="DY20" i="1" s="1"/>
  <c r="GS20" i="1"/>
  <c r="AAS20" i="1"/>
  <c r="ADV20" i="1" s="1"/>
  <c r="HF20" i="1"/>
  <c r="JB20" i="1"/>
  <c r="MU20" i="1"/>
  <c r="MV20" i="1" s="1"/>
  <c r="NB20" i="1"/>
  <c r="NJ20" i="1"/>
  <c r="NK20" i="1" s="1"/>
  <c r="NQ20" i="1"/>
  <c r="NX20" i="1"/>
  <c r="OE20" i="1"/>
  <c r="OJ20" i="1"/>
  <c r="OM20" i="1" s="1"/>
  <c r="OL20" i="1"/>
  <c r="RY20" i="1"/>
  <c r="VB20" i="1"/>
  <c r="Y21" i="1"/>
  <c r="GF21" i="1"/>
  <c r="IQ21" i="1"/>
  <c r="IR21" i="1" s="1"/>
  <c r="JU21" i="1"/>
  <c r="JV21" i="1" s="1"/>
  <c r="JX21" i="1" s="1"/>
  <c r="KH21" i="1"/>
  <c r="MO21" i="1"/>
  <c r="ZI21" i="1" s="1"/>
  <c r="MV21" i="1"/>
  <c r="ABS11" i="1"/>
  <c r="XC11" i="1"/>
  <c r="VA12" i="1"/>
  <c r="J13" i="1"/>
  <c r="AY13" i="1"/>
  <c r="BJ13" i="1" s="1"/>
  <c r="BF13" i="1"/>
  <c r="BW13" i="1"/>
  <c r="CR13" i="1"/>
  <c r="CT13" i="1" s="1"/>
  <c r="CX13" i="1"/>
  <c r="DH13" i="1"/>
  <c r="DJ13" i="1" s="1"/>
  <c r="DN13" i="1"/>
  <c r="DW13" i="1"/>
  <c r="DY13" i="1" s="1"/>
  <c r="EQ13" i="1"/>
  <c r="ZA13" i="1"/>
  <c r="HT13" i="1"/>
  <c r="HU13" i="1" s="1"/>
  <c r="IJ13" i="1"/>
  <c r="JP13" i="1"/>
  <c r="KK13" i="1"/>
  <c r="KW13" i="1"/>
  <c r="LG13" i="1"/>
  <c r="MZ13" i="1"/>
  <c r="NO13" i="1"/>
  <c r="OC13" i="1"/>
  <c r="OL13" i="1"/>
  <c r="PB13" i="1"/>
  <c r="PC13" i="1" s="1"/>
  <c r="SX13" i="1"/>
  <c r="UO13" i="1"/>
  <c r="UQ13" i="1" s="1"/>
  <c r="WT13" i="1"/>
  <c r="BW14" i="1"/>
  <c r="CR14" i="1"/>
  <c r="CT14" i="1" s="1"/>
  <c r="CX14" i="1"/>
  <c r="DH14" i="1"/>
  <c r="DJ14" i="1" s="1"/>
  <c r="DN14" i="1"/>
  <c r="DW14" i="1"/>
  <c r="DY14" i="1" s="1"/>
  <c r="VA14" i="1"/>
  <c r="GS14" i="1"/>
  <c r="HJ14" i="1"/>
  <c r="HL14" i="1" s="1"/>
  <c r="HK14" i="1" s="1"/>
  <c r="HT14" i="1"/>
  <c r="HU14" i="1" s="1"/>
  <c r="JN14" i="1"/>
  <c r="JO14" i="1" s="1"/>
  <c r="JQ14" i="1" s="1"/>
  <c r="JW14" i="1"/>
  <c r="KK14" i="1"/>
  <c r="KW14" i="1"/>
  <c r="LG14" i="1"/>
  <c r="VI14" i="1"/>
  <c r="MZ14" i="1"/>
  <c r="NO14" i="1"/>
  <c r="OC14" i="1"/>
  <c r="OL14" i="1"/>
  <c r="PB14" i="1"/>
  <c r="PC14" i="1" s="1"/>
  <c r="SX14" i="1"/>
  <c r="VB14" i="1"/>
  <c r="J15" i="1"/>
  <c r="BW15" i="1"/>
  <c r="CV15" i="1"/>
  <c r="DH15" i="1"/>
  <c r="DJ15" i="1" s="1"/>
  <c r="HT15" i="1"/>
  <c r="HU15" i="1" s="1"/>
  <c r="IJ15" i="1"/>
  <c r="KK15" i="1"/>
  <c r="LQ15" i="1"/>
  <c r="AAZ15" i="1" s="1"/>
  <c r="ADI15" i="1" s="1"/>
  <c r="VI15" i="1"/>
  <c r="NG15" i="1"/>
  <c r="NV15" i="1"/>
  <c r="OU15" i="1"/>
  <c r="OY15" i="1" s="1"/>
  <c r="PE15" i="1"/>
  <c r="RY15" i="1"/>
  <c r="VB15" i="1"/>
  <c r="YM15" i="1" s="1"/>
  <c r="Y16" i="1"/>
  <c r="ACR16" i="1"/>
  <c r="Y17" i="1"/>
  <c r="CB19" i="1"/>
  <c r="CR19" i="1"/>
  <c r="CT19" i="1" s="1"/>
  <c r="DH19" i="1"/>
  <c r="DJ19" i="1" s="1"/>
  <c r="DW19" i="1"/>
  <c r="DY19" i="1" s="1"/>
  <c r="VA19" i="1"/>
  <c r="GS19" i="1"/>
  <c r="GT19" i="1" s="1"/>
  <c r="GX19" i="1"/>
  <c r="HB19" i="1"/>
  <c r="HF19" i="1"/>
  <c r="VH19" i="1"/>
  <c r="MX19" i="1"/>
  <c r="ZD19" i="1" s="1"/>
  <c r="NM19" i="1"/>
  <c r="ZF19" i="1" s="1"/>
  <c r="OA19" i="1"/>
  <c r="AAY19" i="1" s="1"/>
  <c r="ADH19" i="1" s="1"/>
  <c r="RY19" i="1"/>
  <c r="ZA19" i="1"/>
  <c r="R20" i="1"/>
  <c r="CB20" i="1"/>
  <c r="CI20" i="1"/>
  <c r="DC20" i="1"/>
  <c r="DD20" i="1" s="1"/>
  <c r="DS20" i="1"/>
  <c r="DT20" i="1" s="1"/>
  <c r="EB20" i="1"/>
  <c r="EQ20" i="1"/>
  <c r="FF20" i="1"/>
  <c r="GX20" i="1"/>
  <c r="HB20" i="1"/>
  <c r="HN20" i="1"/>
  <c r="IZ20" i="1"/>
  <c r="JA20" i="1" s="1"/>
  <c r="JC20" i="1" s="1"/>
  <c r="KM20" i="1"/>
  <c r="KN20" i="1" s="1"/>
  <c r="LO20" i="1"/>
  <c r="AAX20" i="1" s="1"/>
  <c r="ADG20" i="1" s="1"/>
  <c r="MX20" i="1"/>
  <c r="ZD20" i="1" s="1"/>
  <c r="NE20" i="1"/>
  <c r="ABB20" i="1" s="1"/>
  <c r="ADN20" i="1" s="1"/>
  <c r="NM20" i="1"/>
  <c r="NT20" i="1"/>
  <c r="OA20" i="1"/>
  <c r="OO20" i="1"/>
  <c r="OR20" i="1" s="1"/>
  <c r="SX20" i="1"/>
  <c r="UO20" i="1"/>
  <c r="UQ20" i="1" s="1"/>
  <c r="WT20" i="1"/>
  <c r="ZO20" i="1"/>
  <c r="GB21" i="1"/>
  <c r="GC21" i="1" s="1"/>
  <c r="IX21" i="1"/>
  <c r="KB21" i="1"/>
  <c r="KC21" i="1" s="1"/>
  <c r="ABA21" i="1"/>
  <c r="ADM21" i="1" s="1"/>
  <c r="ZD21" i="1"/>
  <c r="ZE21" i="1"/>
  <c r="ABB21" i="1"/>
  <c r="ADN21" i="1" s="1"/>
  <c r="YP21" i="1"/>
  <c r="YA21" i="1"/>
  <c r="ABD21" i="1"/>
  <c r="ZF21" i="1"/>
  <c r="ZG21" i="1"/>
  <c r="ABG21" i="1"/>
  <c r="ADK21" i="1" s="1"/>
  <c r="RU21" i="1"/>
  <c r="UI21" i="1" s="1"/>
  <c r="UJ21" i="1" s="1"/>
  <c r="O22" i="1"/>
  <c r="CX22" i="1"/>
  <c r="EQ22" i="1"/>
  <c r="GW22" i="1"/>
  <c r="GX22" i="1" s="1"/>
  <c r="HT22" i="1"/>
  <c r="HU22" i="1" s="1"/>
  <c r="JN22" i="1"/>
  <c r="JO22" i="1" s="1"/>
  <c r="JQ22" i="1" s="1"/>
  <c r="KK22" i="1"/>
  <c r="KW22" i="1"/>
  <c r="OU22" i="1"/>
  <c r="OY22" i="1" s="1"/>
  <c r="SX22" i="1"/>
  <c r="UO22" i="1"/>
  <c r="UQ22" i="1" s="1"/>
  <c r="WT22" i="1"/>
  <c r="J23" i="1"/>
  <c r="AC23" i="1"/>
  <c r="AY23" i="1"/>
  <c r="BJ23" i="1" s="1"/>
  <c r="BF23" i="1"/>
  <c r="BW23" i="1"/>
  <c r="DH23" i="1"/>
  <c r="DJ23" i="1" s="1"/>
  <c r="DS23" i="1"/>
  <c r="DT23" i="1" s="1"/>
  <c r="R24" i="1"/>
  <c r="ZA24" i="1"/>
  <c r="QU24" i="1"/>
  <c r="XC24" i="1"/>
  <c r="ACR24" i="1"/>
  <c r="AAS25" i="1"/>
  <c r="HF25" i="1"/>
  <c r="ABS25" i="1"/>
  <c r="R26" i="1"/>
  <c r="GS27" i="1"/>
  <c r="OM27" i="1"/>
  <c r="OL27" i="1"/>
  <c r="PC27" i="1"/>
  <c r="QK27" i="1"/>
  <c r="QL27" i="1" s="1"/>
  <c r="QU27" i="1"/>
  <c r="QV27" i="1" s="1"/>
  <c r="XC27" i="1"/>
  <c r="ACR27" i="1"/>
  <c r="Y28" i="1"/>
  <c r="VA28" i="1"/>
  <c r="Y29" i="1"/>
  <c r="KH29" i="1"/>
  <c r="MV29" i="1"/>
  <c r="NC29" i="1"/>
  <c r="NK29" i="1"/>
  <c r="NR29" i="1"/>
  <c r="NY29" i="1"/>
  <c r="J30" i="1"/>
  <c r="BW30" i="1"/>
  <c r="CG30" i="1"/>
  <c r="DL30" i="1"/>
  <c r="DM30" i="1" s="1"/>
  <c r="R31" i="1"/>
  <c r="ZA31" i="1"/>
  <c r="HB31" i="1"/>
  <c r="ABS31" i="1"/>
  <c r="XC31" i="1"/>
  <c r="ACR31" i="1"/>
  <c r="J32" i="1"/>
  <c r="JL32" i="1" s="1"/>
  <c r="Y32" i="1"/>
  <c r="ZA32" i="1"/>
  <c r="HB32" i="1"/>
  <c r="ABS32" i="1"/>
  <c r="XC32" i="1"/>
  <c r="ACR32" i="1"/>
  <c r="Y33" i="1"/>
  <c r="GX33" i="1"/>
  <c r="J34" i="1"/>
  <c r="JL34" i="1" s="1"/>
  <c r="BW34" i="1"/>
  <c r="CV34" i="1"/>
  <c r="CW34" i="1" s="1"/>
  <c r="DH34" i="1"/>
  <c r="DJ34" i="1" s="1"/>
  <c r="ZA34" i="1"/>
  <c r="HB34" i="1"/>
  <c r="ABS34" i="1"/>
  <c r="XC34" i="1"/>
  <c r="ACR34" i="1"/>
  <c r="Y35" i="1"/>
  <c r="ZA35" i="1"/>
  <c r="HB35" i="1"/>
  <c r="ABS35" i="1"/>
  <c r="XC35" i="1"/>
  <c r="ACR35" i="1"/>
  <c r="Y36" i="1"/>
  <c r="VA37" i="1"/>
  <c r="GX37" i="1"/>
  <c r="J38" i="1"/>
  <c r="CF38" i="1"/>
  <c r="DW38" i="1"/>
  <c r="DY38" i="1" s="1"/>
  <c r="GS38" i="1"/>
  <c r="XC38" i="1"/>
  <c r="AAS39" i="1"/>
  <c r="HF39" i="1"/>
  <c r="ABS39" i="1"/>
  <c r="XC39" i="1"/>
  <c r="ZA40" i="1"/>
  <c r="HB40" i="1"/>
  <c r="AAS41" i="1"/>
  <c r="HA41" i="1"/>
  <c r="HB41" i="1" s="1"/>
  <c r="AAS42" i="1"/>
  <c r="HA42" i="1"/>
  <c r="HB42" i="1" s="1"/>
  <c r="DC22" i="1"/>
  <c r="DD22" i="1" s="1"/>
  <c r="FW22" i="1"/>
  <c r="HF22" i="1"/>
  <c r="JW22" i="1"/>
  <c r="KR22" i="1"/>
  <c r="KT22" i="1" s="1"/>
  <c r="VI22" i="1"/>
  <c r="PB22" i="1"/>
  <c r="PC22" i="1" s="1"/>
  <c r="RY22" i="1"/>
  <c r="R23" i="1"/>
  <c r="CB23" i="1"/>
  <c r="CR23" i="1"/>
  <c r="CT23" i="1" s="1"/>
  <c r="DC23" i="1"/>
  <c r="DD23" i="1" s="1"/>
  <c r="DW23" i="1"/>
  <c r="DY23" i="1" s="1"/>
  <c r="HN23" i="1"/>
  <c r="ZO23" i="1"/>
  <c r="J24" i="1"/>
  <c r="KB24" i="1" s="1"/>
  <c r="KC24" i="1" s="1"/>
  <c r="AAS24" i="1"/>
  <c r="HF24" i="1"/>
  <c r="VH24" i="1"/>
  <c r="ABS24" i="1"/>
  <c r="Y25" i="1"/>
  <c r="VA25" i="1"/>
  <c r="ZA25" i="1"/>
  <c r="HA25" i="1"/>
  <c r="HB25" i="1" s="1"/>
  <c r="ZA26" i="1"/>
  <c r="HB26" i="1"/>
  <c r="HF26" i="1"/>
  <c r="VH26" i="1"/>
  <c r="ABS26" i="1"/>
  <c r="ZA28" i="1"/>
  <c r="AAS28" i="1"/>
  <c r="HF28" i="1"/>
  <c r="MP28" i="1"/>
  <c r="MQ28" i="1" s="1"/>
  <c r="OL28" i="1"/>
  <c r="R30" i="1"/>
  <c r="AY30" i="1"/>
  <c r="BF30" i="1"/>
  <c r="CB30" i="1"/>
  <c r="CR30" i="1"/>
  <c r="CT30" i="1" s="1"/>
  <c r="AAS30" i="1"/>
  <c r="HF30" i="1"/>
  <c r="R32" i="1"/>
  <c r="GX32" i="1"/>
  <c r="AAS33" i="1"/>
  <c r="HF33" i="1"/>
  <c r="VI33" i="1"/>
  <c r="ABS33" i="1"/>
  <c r="R34" i="1"/>
  <c r="AY34" i="1"/>
  <c r="BF34" i="1"/>
  <c r="CB34" i="1"/>
  <c r="CD34" i="1" s="1"/>
  <c r="DC34" i="1"/>
  <c r="DD34" i="1" s="1"/>
  <c r="GX34" i="1"/>
  <c r="GX35" i="1"/>
  <c r="ZA36" i="1"/>
  <c r="HB36" i="1"/>
  <c r="ABS36" i="1"/>
  <c r="XC36" i="1"/>
  <c r="ACR36" i="1"/>
  <c r="AAS37" i="1"/>
  <c r="HF37" i="1"/>
  <c r="VI37" i="1"/>
  <c r="ABS37" i="1"/>
  <c r="R38" i="1"/>
  <c r="ZA38" i="1"/>
  <c r="HB38" i="1"/>
  <c r="R39" i="1"/>
  <c r="VA39" i="1"/>
  <c r="GX39" i="1"/>
  <c r="HA39" i="1"/>
  <c r="HB39" i="1" s="1"/>
  <c r="R40" i="1"/>
  <c r="GS40" i="1"/>
  <c r="AAS40" i="1"/>
  <c r="HF40" i="1"/>
  <c r="ABS40" i="1"/>
  <c r="VA41" i="1"/>
  <c r="HF41" i="1"/>
  <c r="AAS43" i="1"/>
  <c r="AY43" i="1"/>
  <c r="J43" i="1"/>
  <c r="KB43" i="1" s="1"/>
  <c r="KC43" i="1" s="1"/>
  <c r="VI43" i="1"/>
  <c r="ABS43" i="1"/>
  <c r="XC43" i="1"/>
  <c r="GX41" i="1"/>
  <c r="VA42" i="1"/>
  <c r="GX42" i="1"/>
  <c r="VA43" i="1"/>
  <c r="GX43" i="1"/>
  <c r="HF43" i="1"/>
  <c r="VA44" i="1"/>
  <c r="ABS44" i="1"/>
  <c r="ACR44" i="1"/>
  <c r="Y45" i="1"/>
  <c r="HB45" i="1"/>
  <c r="GS46" i="1"/>
  <c r="SD47" i="1"/>
  <c r="HA47" i="1"/>
  <c r="HB47" i="1" s="1"/>
  <c r="OS47" i="1"/>
  <c r="Y48" i="1"/>
  <c r="ZA48" i="1"/>
  <c r="ABS48" i="1"/>
  <c r="XC48" i="1"/>
  <c r="ACR48" i="1"/>
  <c r="AC49" i="1"/>
  <c r="VA49" i="1"/>
  <c r="ABS49" i="1"/>
  <c r="GS50" i="1"/>
  <c r="QU50" i="1"/>
  <c r="XC50" i="1"/>
  <c r="ACR50" i="1"/>
  <c r="ZA51" i="1"/>
  <c r="QU51" i="1"/>
  <c r="CD52" i="1"/>
  <c r="CE52" i="1" s="1"/>
  <c r="CT52" i="1"/>
  <c r="CU52" i="1" s="1"/>
  <c r="DJ52" i="1"/>
  <c r="DK52" i="1" s="1"/>
  <c r="DY52" i="1"/>
  <c r="DZ52" i="1" s="1"/>
  <c r="GX52" i="1"/>
  <c r="WT53" i="1"/>
  <c r="GH53" i="1"/>
  <c r="GI53" i="1" s="1"/>
  <c r="GJ53" i="1" s="1"/>
  <c r="DW53" i="1"/>
  <c r="DL53" i="1"/>
  <c r="DM53" i="1" s="1"/>
  <c r="CR53" i="1"/>
  <c r="R53" i="1"/>
  <c r="BW53" i="1"/>
  <c r="BX53" i="1" s="1"/>
  <c r="CG53" i="1"/>
  <c r="DS53" i="1"/>
  <c r="DT53" i="1" s="1"/>
  <c r="ZA53" i="1"/>
  <c r="HB53" i="1"/>
  <c r="Y44" i="1"/>
  <c r="VA45" i="1"/>
  <c r="GX45" i="1"/>
  <c r="HF45" i="1"/>
  <c r="ABS45" i="1"/>
  <c r="HB46" i="1"/>
  <c r="HF46" i="1"/>
  <c r="KH47" i="1"/>
  <c r="AAS48" i="1"/>
  <c r="HF48" i="1"/>
  <c r="VI48" i="1"/>
  <c r="ZA49" i="1"/>
  <c r="AAS49" i="1"/>
  <c r="HF49" i="1"/>
  <c r="VA50" i="1"/>
  <c r="HB50" i="1"/>
  <c r="HF50" i="1"/>
  <c r="MP50" i="1"/>
  <c r="MQ50" i="1" s="1"/>
  <c r="OL50" i="1"/>
  <c r="AAS51" i="1"/>
  <c r="HF51" i="1"/>
  <c r="ABS51" i="1"/>
  <c r="R52" i="1"/>
  <c r="EM52" i="1"/>
  <c r="EN52" i="1" s="1"/>
  <c r="FB52" i="1"/>
  <c r="FC52" i="1" s="1"/>
  <c r="FQ52" i="1"/>
  <c r="FR52" i="1" s="1"/>
  <c r="ZA52" i="1"/>
  <c r="HB52" i="1"/>
  <c r="ABS52" i="1"/>
  <c r="XC52" i="1"/>
  <c r="ACR52" i="1"/>
  <c r="J53" i="1"/>
  <c r="KB53" i="1" s="1"/>
  <c r="KC53" i="1" s="1"/>
  <c r="AY53" i="1"/>
  <c r="BF53" i="1"/>
  <c r="CB53" i="1"/>
  <c r="DJ53" i="1"/>
  <c r="DK53" i="1" s="1"/>
  <c r="FB53" i="1"/>
  <c r="FC53" i="1" s="1"/>
  <c r="R56" i="1"/>
  <c r="AAS56" i="1"/>
  <c r="HF56" i="1"/>
  <c r="ABS56" i="1"/>
  <c r="R57" i="1"/>
  <c r="VA57" i="1"/>
  <c r="ZA57" i="1"/>
  <c r="HB57" i="1"/>
  <c r="ABS57" i="1"/>
  <c r="R58" i="1"/>
  <c r="AAS58" i="1"/>
  <c r="HF58" i="1"/>
  <c r="GS59" i="1"/>
  <c r="V60" i="1"/>
  <c r="GS60" i="1"/>
  <c r="QU60" i="1"/>
  <c r="XC60" i="1"/>
  <c r="VA10" i="2"/>
  <c r="GX10" i="2"/>
  <c r="HF10" i="2"/>
  <c r="QM10" i="2"/>
  <c r="QK10" i="2" s="1"/>
  <c r="ACR10" i="2"/>
  <c r="Y11" i="2"/>
  <c r="QU11" i="2"/>
  <c r="XC11" i="2"/>
  <c r="ACR11" i="2"/>
  <c r="Y12" i="2"/>
  <c r="UZ12" i="2"/>
  <c r="ZO13" i="2"/>
  <c r="R14" i="2"/>
  <c r="VA14" i="2"/>
  <c r="GX14" i="2"/>
  <c r="HF14" i="2"/>
  <c r="MP14" i="2"/>
  <c r="MQ14" i="2" s="1"/>
  <c r="ABS14" i="2"/>
  <c r="GS53" i="1"/>
  <c r="AAS53" i="1"/>
  <c r="HF53" i="1"/>
  <c r="ABS53" i="1"/>
  <c r="GS55" i="1"/>
  <c r="KH55" i="1"/>
  <c r="OM55" i="1"/>
  <c r="QM55" i="1"/>
  <c r="QU55" i="1"/>
  <c r="QV55" i="1" s="1"/>
  <c r="J56" i="1"/>
  <c r="KB56" i="1" s="1"/>
  <c r="KC56" i="1" s="1"/>
  <c r="Y56" i="1"/>
  <c r="ZA56" i="1"/>
  <c r="HA56" i="1"/>
  <c r="HB56" i="1" s="1"/>
  <c r="QU56" i="1"/>
  <c r="XC56" i="1"/>
  <c r="ACR56" i="1"/>
  <c r="J57" i="1"/>
  <c r="Y57" i="1"/>
  <c r="GS57" i="1"/>
  <c r="AAS57" i="1"/>
  <c r="HF57" i="1"/>
  <c r="QU57" i="1"/>
  <c r="XC57" i="1"/>
  <c r="J58" i="1"/>
  <c r="JU58" i="1" s="1"/>
  <c r="JV58" i="1" s="1"/>
  <c r="JX58" i="1" s="1"/>
  <c r="VA58" i="1"/>
  <c r="GX58" i="1"/>
  <c r="HA58" i="1"/>
  <c r="HB58" i="1" s="1"/>
  <c r="OL58" i="1"/>
  <c r="HB10" i="2"/>
  <c r="ABS11" i="2"/>
  <c r="GS12" i="2"/>
  <c r="ABS12" i="2"/>
  <c r="QM12" i="2"/>
  <c r="QK12" i="2" s="1"/>
  <c r="XC12" i="2"/>
  <c r="R13" i="2"/>
  <c r="QU13" i="2"/>
  <c r="XC13" i="2"/>
  <c r="J14" i="2"/>
  <c r="KB14" i="2" s="1"/>
  <c r="KC14" i="2" s="1"/>
  <c r="HB14" i="2"/>
  <c r="QU14" i="2"/>
  <c r="XC14" i="2"/>
  <c r="VK10" i="2"/>
  <c r="AE10" i="2"/>
  <c r="AD10" i="2"/>
  <c r="YL10" i="2"/>
  <c r="XW10" i="2"/>
  <c r="VI10" i="2"/>
  <c r="MO10" i="2"/>
  <c r="ADV10" i="2"/>
  <c r="ADF10" i="2"/>
  <c r="AE11" i="2"/>
  <c r="VK11" i="2"/>
  <c r="AD11" i="2"/>
  <c r="GT11" i="2"/>
  <c r="ZI11" i="2"/>
  <c r="ABJ11" i="2"/>
  <c r="AE12" i="2"/>
  <c r="VK12" i="2"/>
  <c r="AD12" i="2"/>
  <c r="GT12" i="2"/>
  <c r="ZI12" i="2"/>
  <c r="ABJ12" i="2"/>
  <c r="O10" i="2"/>
  <c r="ZB10" i="2"/>
  <c r="BO10" i="2"/>
  <c r="BP10" i="2" s="1"/>
  <c r="CJ10" i="2"/>
  <c r="CY10" i="2"/>
  <c r="DO10" i="2"/>
  <c r="ER10" i="2"/>
  <c r="FG10" i="2"/>
  <c r="GS10" i="2"/>
  <c r="HJ10" i="2"/>
  <c r="HL10" i="2" s="1"/>
  <c r="HK10" i="2" s="1"/>
  <c r="HP10" i="2"/>
  <c r="HR10" i="2" s="1"/>
  <c r="IZ10" i="2"/>
  <c r="JA10" i="2" s="1"/>
  <c r="KR10" i="2"/>
  <c r="KT10" i="2" s="1"/>
  <c r="LG10" i="2"/>
  <c r="LQ10" i="2"/>
  <c r="AAZ10" i="2" s="1"/>
  <c r="ADI10" i="2" s="1"/>
  <c r="MZ10" i="2"/>
  <c r="NG10" i="2"/>
  <c r="NO10" i="2"/>
  <c r="NV10" i="2"/>
  <c r="OC10" i="2"/>
  <c r="ABS10" i="2"/>
  <c r="OU10" i="2"/>
  <c r="OY10" i="2" s="1"/>
  <c r="PB10" i="2"/>
  <c r="PE10" i="2"/>
  <c r="QL10" i="2"/>
  <c r="QN10" i="2"/>
  <c r="QV10" i="2"/>
  <c r="RY10" i="2"/>
  <c r="SX10" i="2"/>
  <c r="UA10" i="2"/>
  <c r="UO10" i="2"/>
  <c r="UQ10" i="2" s="1"/>
  <c r="VB10" i="2"/>
  <c r="VH10" i="2"/>
  <c r="VJ10" i="2" s="1"/>
  <c r="WT10" i="2"/>
  <c r="ZO10" i="2"/>
  <c r="VH11" i="2"/>
  <c r="MP11" i="2"/>
  <c r="MQ11" i="2" s="1"/>
  <c r="LW11" i="2"/>
  <c r="VH12" i="2"/>
  <c r="MP12" i="2"/>
  <c r="MQ12" i="2" s="1"/>
  <c r="LW12" i="2"/>
  <c r="J10" i="2"/>
  <c r="R10" i="2"/>
  <c r="AY10" i="2"/>
  <c r="BF10" i="2"/>
  <c r="BI10" i="2"/>
  <c r="BJ10" i="2" s="1"/>
  <c r="BK10" i="2"/>
  <c r="BS10" i="2"/>
  <c r="BT10" i="2" s="1"/>
  <c r="BW10" i="2"/>
  <c r="CB10" i="2"/>
  <c r="CR10" i="2"/>
  <c r="CT10" i="2" s="1"/>
  <c r="DC10" i="2"/>
  <c r="DD10" i="2" s="1"/>
  <c r="DH10" i="2"/>
  <c r="DJ10" i="2" s="1"/>
  <c r="DS10" i="2"/>
  <c r="DT10" i="2" s="1"/>
  <c r="DW10" i="2"/>
  <c r="DY10" i="2" s="1"/>
  <c r="HN10" i="2"/>
  <c r="HX10" i="2"/>
  <c r="HZ10" i="2" s="1"/>
  <c r="IJ10" i="2"/>
  <c r="JN10" i="2"/>
  <c r="JO10" i="2" s="1"/>
  <c r="KG10" i="2"/>
  <c r="KH10" i="2" s="1"/>
  <c r="KK10" i="2"/>
  <c r="LO10" i="2"/>
  <c r="AAX10" i="2" s="1"/>
  <c r="ADG10" i="2" s="1"/>
  <c r="LW10" i="2"/>
  <c r="MU10" i="2"/>
  <c r="MX10" i="2"/>
  <c r="NB10" i="2"/>
  <c r="NE10" i="2"/>
  <c r="NJ10" i="2"/>
  <c r="NM10" i="2"/>
  <c r="NQ10" i="2"/>
  <c r="NT10" i="2"/>
  <c r="NX10" i="2"/>
  <c r="OA10" i="2"/>
  <c r="OE10" i="2"/>
  <c r="OJ10" i="2"/>
  <c r="OL10" i="2"/>
  <c r="OO10" i="2"/>
  <c r="OR10" i="2" s="1"/>
  <c r="OW10" i="2"/>
  <c r="RU10" i="2"/>
  <c r="SZ10" i="2"/>
  <c r="TM10" i="2"/>
  <c r="UC10" i="2"/>
  <c r="UN10" i="2"/>
  <c r="VM10" i="2"/>
  <c r="WM10" i="2"/>
  <c r="WN10" i="2" s="1"/>
  <c r="ZA10" i="2"/>
  <c r="AEB12" i="2"/>
  <c r="ACR12" i="2"/>
  <c r="AE13" i="2"/>
  <c r="VK13" i="2"/>
  <c r="AD13" i="2"/>
  <c r="BO13" i="2"/>
  <c r="BP13" i="2" s="1"/>
  <c r="ZB13" i="2"/>
  <c r="BS13" i="2"/>
  <c r="BT13" i="2" s="1"/>
  <c r="BK13" i="2"/>
  <c r="BI13" i="2"/>
  <c r="VH13" i="2"/>
  <c r="MP13" i="2"/>
  <c r="MQ13" i="2" s="1"/>
  <c r="LW13" i="2"/>
  <c r="O11" i="2"/>
  <c r="BK11" i="2"/>
  <c r="BS11" i="2"/>
  <c r="BT11" i="2" s="1"/>
  <c r="BW11" i="2"/>
  <c r="CB11" i="2"/>
  <c r="CR11" i="2"/>
  <c r="CT11" i="2" s="1"/>
  <c r="DC11" i="2"/>
  <c r="DD11" i="2" s="1"/>
  <c r="DH11" i="2"/>
  <c r="DJ11" i="2" s="1"/>
  <c r="DS11" i="2"/>
  <c r="DT11" i="2" s="1"/>
  <c r="DW11" i="2"/>
  <c r="DY11" i="2" s="1"/>
  <c r="FX11" i="2"/>
  <c r="GX11" i="2"/>
  <c r="HB11" i="2"/>
  <c r="HF11" i="2"/>
  <c r="HN11" i="2"/>
  <c r="IZ11" i="2"/>
  <c r="JA11" i="2" s="1"/>
  <c r="KM11" i="2"/>
  <c r="KN11" i="2" s="1"/>
  <c r="LO11" i="2"/>
  <c r="AAX11" i="2" s="1"/>
  <c r="ADG11" i="2" s="1"/>
  <c r="MU11" i="2"/>
  <c r="MX11" i="2"/>
  <c r="NB11" i="2"/>
  <c r="NE11" i="2"/>
  <c r="NJ11" i="2"/>
  <c r="NM11" i="2"/>
  <c r="NQ11" i="2"/>
  <c r="NT11" i="2"/>
  <c r="NX11" i="2"/>
  <c r="OA11" i="2"/>
  <c r="OE11" i="2"/>
  <c r="OJ11" i="2"/>
  <c r="OL11" i="2"/>
  <c r="OO11" i="2"/>
  <c r="OR11" i="2" s="1"/>
  <c r="RU11" i="2"/>
  <c r="SZ11" i="2"/>
  <c r="TM11" i="2"/>
  <c r="UC11" i="2"/>
  <c r="UN11" i="2"/>
  <c r="VA11" i="2"/>
  <c r="VI11" i="2"/>
  <c r="VM11" i="2"/>
  <c r="WM11" i="2"/>
  <c r="WN11" i="2" s="1"/>
  <c r="ZB11" i="2"/>
  <c r="AAS11" i="2"/>
  <c r="O12" i="2"/>
  <c r="BK12" i="2"/>
  <c r="BS12" i="2"/>
  <c r="BT12" i="2" s="1"/>
  <c r="BW12" i="2"/>
  <c r="CJ12" i="2"/>
  <c r="DC12" i="2"/>
  <c r="DD12" i="2" s="1"/>
  <c r="DO12" i="2"/>
  <c r="ER12" i="2"/>
  <c r="GX12" i="2"/>
  <c r="HB12" i="2"/>
  <c r="HF12" i="2"/>
  <c r="HN12" i="2"/>
  <c r="HX12" i="2"/>
  <c r="HZ12" i="2" s="1"/>
  <c r="IJ12" i="2"/>
  <c r="IZ12" i="2"/>
  <c r="JA12" i="2" s="1"/>
  <c r="JN12" i="2"/>
  <c r="JO12" i="2" s="1"/>
  <c r="LO12" i="2"/>
  <c r="AAX12" i="2" s="1"/>
  <c r="ADG12" i="2" s="1"/>
  <c r="MU12" i="2"/>
  <c r="MX12" i="2"/>
  <c r="NB12" i="2"/>
  <c r="NE12" i="2"/>
  <c r="NJ12" i="2"/>
  <c r="NM12" i="2"/>
  <c r="NQ12" i="2"/>
  <c r="NT12" i="2"/>
  <c r="NX12" i="2"/>
  <c r="OA12" i="2"/>
  <c r="OE12" i="2"/>
  <c r="OJ12" i="2"/>
  <c r="OL12" i="2"/>
  <c r="OO12" i="2"/>
  <c r="OR12" i="2" s="1"/>
  <c r="RU12" i="2"/>
  <c r="SZ12" i="2"/>
  <c r="TM12" i="2"/>
  <c r="UC12" i="2"/>
  <c r="UN12" i="2"/>
  <c r="VA12" i="2"/>
  <c r="VI12" i="2"/>
  <c r="VM12" i="2"/>
  <c r="WM12" i="2"/>
  <c r="WN12" i="2" s="1"/>
  <c r="ZB12" i="2"/>
  <c r="AAS12" i="2"/>
  <c r="GT13" i="2"/>
  <c r="ABJ13" i="2"/>
  <c r="ZI13" i="2"/>
  <c r="J11" i="2"/>
  <c r="R11" i="2"/>
  <c r="AY11" i="2"/>
  <c r="BF11" i="2"/>
  <c r="BI11" i="2"/>
  <c r="BO11" i="2"/>
  <c r="BP11" i="2" s="1"/>
  <c r="CJ11" i="2"/>
  <c r="CY11" i="2"/>
  <c r="HJ11" i="2"/>
  <c r="HL11" i="2" s="1"/>
  <c r="HK11" i="2" s="1"/>
  <c r="HP11" i="2"/>
  <c r="HR11" i="2" s="1"/>
  <c r="HT11" i="2"/>
  <c r="HU11" i="2" s="1"/>
  <c r="HX11" i="2"/>
  <c r="HZ11" i="2" s="1"/>
  <c r="IJ11" i="2"/>
  <c r="JN11" i="2"/>
  <c r="JO11" i="2" s="1"/>
  <c r="KG11" i="2"/>
  <c r="KH11" i="2" s="1"/>
  <c r="KK11" i="2"/>
  <c r="KR11" i="2"/>
  <c r="KT11" i="2" s="1"/>
  <c r="LG11" i="2"/>
  <c r="LQ11" i="2"/>
  <c r="AAZ11" i="2" s="1"/>
  <c r="ADI11" i="2" s="1"/>
  <c r="MZ11" i="2"/>
  <c r="NG11" i="2"/>
  <c r="NO11" i="2"/>
  <c r="NV11" i="2"/>
  <c r="OC11" i="2"/>
  <c r="OU11" i="2"/>
  <c r="OY11" i="2" s="1"/>
  <c r="OW11" i="2" s="1"/>
  <c r="PB11" i="2"/>
  <c r="PE11" i="2"/>
  <c r="QL11" i="2"/>
  <c r="QN11" i="2"/>
  <c r="QV11" i="2"/>
  <c r="RY11" i="2"/>
  <c r="SX11" i="2"/>
  <c r="UO11" i="2"/>
  <c r="UQ11" i="2" s="1"/>
  <c r="VB11" i="2"/>
  <c r="WT11" i="2"/>
  <c r="ZO11" i="2"/>
  <c r="J12" i="2"/>
  <c r="R12" i="2"/>
  <c r="AY12" i="2"/>
  <c r="BF12" i="2"/>
  <c r="BI12" i="2"/>
  <c r="BO12" i="2"/>
  <c r="BP12" i="2" s="1"/>
  <c r="CY12" i="2"/>
  <c r="DS12" i="2"/>
  <c r="DT12" i="2" s="1"/>
  <c r="HJ12" i="2"/>
  <c r="HP12" i="2"/>
  <c r="HR12" i="2" s="1"/>
  <c r="KG12" i="2"/>
  <c r="KH12" i="2" s="1"/>
  <c r="KK12" i="2"/>
  <c r="LG12" i="2"/>
  <c r="LQ12" i="2"/>
  <c r="AAZ12" i="2" s="1"/>
  <c r="ADI12" i="2" s="1"/>
  <c r="MZ12" i="2"/>
  <c r="NG12" i="2"/>
  <c r="NO12" i="2"/>
  <c r="NV12" i="2"/>
  <c r="OC12" i="2"/>
  <c r="OU12" i="2"/>
  <c r="OY12" i="2" s="1"/>
  <c r="OW12" i="2" s="1"/>
  <c r="PB12" i="2"/>
  <c r="PE12" i="2"/>
  <c r="QL12" i="2"/>
  <c r="QN12" i="2"/>
  <c r="QV12" i="2"/>
  <c r="RY12" i="2"/>
  <c r="SI12" i="2"/>
  <c r="SX12" i="2"/>
  <c r="UO12" i="2"/>
  <c r="UQ12" i="2" s="1"/>
  <c r="VB12" i="2"/>
  <c r="WT12" i="2"/>
  <c r="ZO12" i="2"/>
  <c r="ACR13" i="2"/>
  <c r="AEB13" i="2"/>
  <c r="O13" i="2"/>
  <c r="Y13" i="2"/>
  <c r="AY13" i="2"/>
  <c r="BF13" i="2"/>
  <c r="BW13" i="2"/>
  <c r="CB13" i="2"/>
  <c r="CR13" i="2"/>
  <c r="CT13" i="2" s="1"/>
  <c r="DC13" i="2"/>
  <c r="DD13" i="2" s="1"/>
  <c r="DH13" i="2"/>
  <c r="DJ13" i="2" s="1"/>
  <c r="DS13" i="2"/>
  <c r="DT13" i="2" s="1"/>
  <c r="DW13" i="2"/>
  <c r="DY13" i="2" s="1"/>
  <c r="EG13" i="2"/>
  <c r="EK13" i="2"/>
  <c r="EM13" i="2" s="1"/>
  <c r="EZ13" i="2"/>
  <c r="FB13" i="2" s="1"/>
  <c r="FK13" i="2"/>
  <c r="FL13" i="2" s="1"/>
  <c r="ABW13" i="2" s="1"/>
  <c r="FO13" i="2"/>
  <c r="FQ13" i="2" s="1"/>
  <c r="FX13" i="2"/>
  <c r="GX13" i="2"/>
  <c r="HB13" i="2"/>
  <c r="HF13" i="2"/>
  <c r="HN13" i="2"/>
  <c r="IZ13" i="2"/>
  <c r="JA13" i="2" s="1"/>
  <c r="JG13" i="2"/>
  <c r="JH13" i="2" s="1"/>
  <c r="JL13" i="2"/>
  <c r="KM13" i="2"/>
  <c r="KN13" i="2" s="1"/>
  <c r="LO13" i="2"/>
  <c r="AAX13" i="2" s="1"/>
  <c r="ADG13" i="2" s="1"/>
  <c r="MU13" i="2"/>
  <c r="MX13" i="2"/>
  <c r="NB13" i="2"/>
  <c r="NE13" i="2"/>
  <c r="NJ13" i="2"/>
  <c r="NM13" i="2"/>
  <c r="NQ13" i="2"/>
  <c r="NT13" i="2"/>
  <c r="NX13" i="2"/>
  <c r="OA13" i="2"/>
  <c r="OE13" i="2"/>
  <c r="OJ13" i="2"/>
  <c r="OL13" i="2"/>
  <c r="OO13" i="2"/>
  <c r="OR13" i="2" s="1"/>
  <c r="RU13" i="2"/>
  <c r="SZ13" i="2"/>
  <c r="TM13" i="2"/>
  <c r="UC13" i="2"/>
  <c r="UN13" i="2"/>
  <c r="VA13" i="2"/>
  <c r="VI13" i="2"/>
  <c r="VM13" i="2"/>
  <c r="WM13" i="2"/>
  <c r="WN13" i="2" s="1"/>
  <c r="AAS13" i="2"/>
  <c r="ABS13" i="2"/>
  <c r="ADV14" i="2"/>
  <c r="ADF14" i="2"/>
  <c r="ZB14" i="2"/>
  <c r="BS14" i="2"/>
  <c r="BT14" i="2" s="1"/>
  <c r="BK14" i="2"/>
  <c r="BO14" i="2"/>
  <c r="BP14" i="2" s="1"/>
  <c r="BI14" i="2"/>
  <c r="YL14" i="2"/>
  <c r="XW14" i="2"/>
  <c r="VI14" i="2"/>
  <c r="MO14" i="2"/>
  <c r="CJ13" i="2"/>
  <c r="CY13" i="2"/>
  <c r="GB13" i="2"/>
  <c r="GC13" i="2" s="1"/>
  <c r="GF13" i="2"/>
  <c r="HJ13" i="2"/>
  <c r="HL13" i="2" s="1"/>
  <c r="HK13" i="2" s="1"/>
  <c r="HP13" i="2"/>
  <c r="HR13" i="2" s="1"/>
  <c r="HT13" i="2"/>
  <c r="HU13" i="2" s="1"/>
  <c r="HX13" i="2"/>
  <c r="HZ13" i="2" s="1"/>
  <c r="IJ13" i="2"/>
  <c r="IQ13" i="2"/>
  <c r="IR13" i="2" s="1"/>
  <c r="IX13" i="2"/>
  <c r="JN13" i="2"/>
  <c r="JO13" i="2" s="1"/>
  <c r="JU13" i="2"/>
  <c r="JV13" i="2" s="1"/>
  <c r="KG13" i="2"/>
  <c r="KH13" i="2" s="1"/>
  <c r="KK13" i="2"/>
  <c r="KR13" i="2"/>
  <c r="KT13" i="2" s="1"/>
  <c r="LG13" i="2"/>
  <c r="LQ13" i="2"/>
  <c r="AAZ13" i="2" s="1"/>
  <c r="ADI13" i="2" s="1"/>
  <c r="MZ13" i="2"/>
  <c r="NG13" i="2"/>
  <c r="NO13" i="2"/>
  <c r="NV13" i="2"/>
  <c r="OC13" i="2"/>
  <c r="OU13" i="2"/>
  <c r="OY13" i="2" s="1"/>
  <c r="OW13" i="2" s="1"/>
  <c r="PB13" i="2"/>
  <c r="PE13" i="2"/>
  <c r="QL13" i="2"/>
  <c r="QN13" i="2"/>
  <c r="QV13" i="2"/>
  <c r="RY13" i="2"/>
  <c r="SX13" i="2"/>
  <c r="UO13" i="2"/>
  <c r="UQ13" i="2" s="1"/>
  <c r="VB13" i="2"/>
  <c r="WT13" i="2"/>
  <c r="AC14" i="2"/>
  <c r="AY14" i="2"/>
  <c r="BF14" i="2"/>
  <c r="CJ14" i="2"/>
  <c r="CY14" i="2"/>
  <c r="DO14" i="2"/>
  <c r="ER14" i="2"/>
  <c r="FG14" i="2"/>
  <c r="GB14" i="2"/>
  <c r="GC14" i="2" s="1"/>
  <c r="GF14" i="2"/>
  <c r="GS14" i="2"/>
  <c r="HJ14" i="2"/>
  <c r="HL14" i="2" s="1"/>
  <c r="HK14" i="2" s="1"/>
  <c r="HP14" i="2"/>
  <c r="HR14" i="2" s="1"/>
  <c r="IZ14" i="2"/>
  <c r="JA14" i="2" s="1"/>
  <c r="JG14" i="2"/>
  <c r="JH14" i="2" s="1"/>
  <c r="JL14" i="2"/>
  <c r="KR14" i="2"/>
  <c r="KT14" i="2" s="1"/>
  <c r="LG14" i="2"/>
  <c r="LQ14" i="2"/>
  <c r="AAZ14" i="2" s="1"/>
  <c r="ADI14" i="2" s="1"/>
  <c r="MZ14" i="2"/>
  <c r="NG14" i="2"/>
  <c r="NO14" i="2"/>
  <c r="NV14" i="2"/>
  <c r="OC14" i="2"/>
  <c r="OU14" i="2"/>
  <c r="OY14" i="2" s="1"/>
  <c r="PB14" i="2"/>
  <c r="PE14" i="2"/>
  <c r="QL14" i="2"/>
  <c r="QN14" i="2"/>
  <c r="QV14" i="2"/>
  <c r="RY14" i="2"/>
  <c r="SX14" i="2"/>
  <c r="UO14" i="2"/>
  <c r="UQ14" i="2" s="1"/>
  <c r="VB14" i="2"/>
  <c r="VH14" i="2"/>
  <c r="VJ14" i="2" s="1"/>
  <c r="WT14" i="2"/>
  <c r="ZA14" i="2"/>
  <c r="ZO14" i="2"/>
  <c r="AEB14" i="2"/>
  <c r="O14" i="2"/>
  <c r="BW14" i="2"/>
  <c r="CB14" i="2"/>
  <c r="CR14" i="2"/>
  <c r="CT14" i="2" s="1"/>
  <c r="DC14" i="2"/>
  <c r="DD14" i="2" s="1"/>
  <c r="DH14" i="2"/>
  <c r="DJ14" i="2" s="1"/>
  <c r="DS14" i="2"/>
  <c r="DT14" i="2" s="1"/>
  <c r="DW14" i="2"/>
  <c r="DY14" i="2" s="1"/>
  <c r="EG14" i="2"/>
  <c r="EK14" i="2"/>
  <c r="EM14" i="2" s="1"/>
  <c r="EZ14" i="2"/>
  <c r="FB14" i="2" s="1"/>
  <c r="FK14" i="2"/>
  <c r="FL14" i="2" s="1"/>
  <c r="ABW14" i="2" s="1"/>
  <c r="FO14" i="2"/>
  <c r="FQ14" i="2" s="1"/>
  <c r="HN14" i="2"/>
  <c r="HX14" i="2"/>
  <c r="HZ14" i="2" s="1"/>
  <c r="IJ14" i="2"/>
  <c r="IQ14" i="2"/>
  <c r="IR14" i="2" s="1"/>
  <c r="IX14" i="2"/>
  <c r="JN14" i="2"/>
  <c r="JO14" i="2" s="1"/>
  <c r="JU14" i="2"/>
  <c r="JV14" i="2" s="1"/>
  <c r="KG14" i="2"/>
  <c r="KH14" i="2" s="1"/>
  <c r="KK14" i="2"/>
  <c r="LO14" i="2"/>
  <c r="AAX14" i="2" s="1"/>
  <c r="ADG14" i="2" s="1"/>
  <c r="LW14" i="2"/>
  <c r="MU14" i="2"/>
  <c r="MX14" i="2"/>
  <c r="NB14" i="2"/>
  <c r="NE14" i="2"/>
  <c r="NJ14" i="2"/>
  <c r="NM14" i="2"/>
  <c r="NQ14" i="2"/>
  <c r="NT14" i="2"/>
  <c r="NX14" i="2"/>
  <c r="OA14" i="2"/>
  <c r="OE14" i="2"/>
  <c r="OJ14" i="2"/>
  <c r="OL14" i="2"/>
  <c r="OO14" i="2"/>
  <c r="OR14" i="2" s="1"/>
  <c r="OW14" i="2"/>
  <c r="RU14" i="2"/>
  <c r="SZ14" i="2"/>
  <c r="TM14" i="2"/>
  <c r="UC14" i="2"/>
  <c r="UN14" i="2"/>
  <c r="VM14" i="2"/>
  <c r="WM14" i="2"/>
  <c r="WN14" i="2" s="1"/>
  <c r="VK9" i="1"/>
  <c r="AE9" i="1"/>
  <c r="AD9" i="1"/>
  <c r="ADV9" i="1"/>
  <c r="ADF9" i="1"/>
  <c r="AAT9" i="1"/>
  <c r="VI9" i="1"/>
  <c r="MO9" i="1"/>
  <c r="VK10" i="1"/>
  <c r="AE10" i="1"/>
  <c r="AD10" i="1"/>
  <c r="ADV10" i="1"/>
  <c r="ADF10" i="1"/>
  <c r="ADE10" i="1" s="1"/>
  <c r="AAT10" i="1"/>
  <c r="JQ10" i="1"/>
  <c r="ABU10" i="1"/>
  <c r="ZP10" i="1"/>
  <c r="OX10" i="1"/>
  <c r="BO11" i="1"/>
  <c r="BP11" i="1" s="1"/>
  <c r="ZB11" i="1"/>
  <c r="BS11" i="1"/>
  <c r="BT11" i="1" s="1"/>
  <c r="BK11" i="1"/>
  <c r="BI11" i="1"/>
  <c r="BJ11" i="1" s="1"/>
  <c r="ZI11" i="1"/>
  <c r="ABJ11" i="1"/>
  <c r="ADZ11" i="1"/>
  <c r="ADL11" i="1"/>
  <c r="VK12" i="1"/>
  <c r="AE12" i="1"/>
  <c r="AD12" i="1"/>
  <c r="YL12" i="1"/>
  <c r="XW12" i="1"/>
  <c r="IF13" i="1"/>
  <c r="VL13" i="1"/>
  <c r="IG13" i="1"/>
  <c r="IF15" i="1"/>
  <c r="VL15" i="1"/>
  <c r="IG15" i="1"/>
  <c r="QU19" i="1"/>
  <c r="QM19" i="1"/>
  <c r="QK19" i="1" s="1"/>
  <c r="QL19" i="1" s="1"/>
  <c r="UA19" i="1"/>
  <c r="YL9" i="1"/>
  <c r="XW9" i="1"/>
  <c r="YL10" i="1"/>
  <c r="XW10" i="1"/>
  <c r="XV10" i="1" s="1"/>
  <c r="IA10" i="1"/>
  <c r="IB10" i="1" s="1"/>
  <c r="JX10" i="1"/>
  <c r="VI10" i="1"/>
  <c r="MO10" i="1"/>
  <c r="VA11" i="1"/>
  <c r="GS11" i="1"/>
  <c r="VH11" i="1"/>
  <c r="MP11" i="1"/>
  <c r="MQ11" i="1" s="1"/>
  <c r="LW11" i="1"/>
  <c r="YP11" i="1"/>
  <c r="YA11" i="1"/>
  <c r="ADV12" i="1"/>
  <c r="ADF12" i="1"/>
  <c r="AAT12" i="1"/>
  <c r="VI12" i="1"/>
  <c r="MO12" i="1"/>
  <c r="GT13" i="1"/>
  <c r="ID14" i="1"/>
  <c r="IE14" i="1" s="1"/>
  <c r="IC14" i="1"/>
  <c r="YL18" i="1"/>
  <c r="XW18" i="1"/>
  <c r="GT20" i="1"/>
  <c r="ZH20" i="1"/>
  <c r="ABI20" i="1"/>
  <c r="UA20" i="1"/>
  <c r="QU20" i="1"/>
  <c r="QM20" i="1"/>
  <c r="QK20" i="1" s="1"/>
  <c r="VL21" i="1"/>
  <c r="IF21" i="1"/>
  <c r="IG21" i="1"/>
  <c r="ZN10" i="1"/>
  <c r="MP10" i="1"/>
  <c r="MQ10" i="1" s="1"/>
  <c r="BX13" i="1"/>
  <c r="JL14" i="1"/>
  <c r="JG14" i="1"/>
  <c r="JH14" i="1" s="1"/>
  <c r="GF14" i="1"/>
  <c r="GB14" i="1"/>
  <c r="GC14" i="1" s="1"/>
  <c r="VK14" i="1"/>
  <c r="AD14" i="1"/>
  <c r="ZB14" i="1"/>
  <c r="BO14" i="1"/>
  <c r="BP14" i="1" s="1"/>
  <c r="CD14" i="1"/>
  <c r="YL14" i="1"/>
  <c r="XW14" i="1"/>
  <c r="GT14" i="1"/>
  <c r="AAS14" i="1"/>
  <c r="HA14" i="1"/>
  <c r="HB14" i="1" s="1"/>
  <c r="MP14" i="1"/>
  <c r="MQ14" i="1" s="1"/>
  <c r="LW14" i="1"/>
  <c r="QU14" i="1"/>
  <c r="QV14" i="1" s="1"/>
  <c r="QM14" i="1"/>
  <c r="ZB15" i="1"/>
  <c r="BO15" i="1"/>
  <c r="BP15" i="1" s="1"/>
  <c r="CD15" i="1"/>
  <c r="WT16" i="1"/>
  <c r="VB16" i="1"/>
  <c r="UO16" i="1"/>
  <c r="UQ16" i="1" s="1"/>
  <c r="SX16" i="1"/>
  <c r="RY16" i="1"/>
  <c r="OO16" i="1"/>
  <c r="OR16" i="1" s="1"/>
  <c r="OJ16" i="1"/>
  <c r="OE16" i="1"/>
  <c r="OA16" i="1"/>
  <c r="NX16" i="1"/>
  <c r="NT16" i="1"/>
  <c r="NQ16" i="1"/>
  <c r="NM16" i="1"/>
  <c r="NJ16" i="1"/>
  <c r="NE16" i="1"/>
  <c r="NB16" i="1"/>
  <c r="MX16" i="1"/>
  <c r="MU16" i="1"/>
  <c r="LO16" i="1"/>
  <c r="AAX16" i="1" s="1"/>
  <c r="ADG16" i="1" s="1"/>
  <c r="KM16" i="1"/>
  <c r="KN16" i="1" s="1"/>
  <c r="IZ16" i="1"/>
  <c r="JA16" i="1" s="1"/>
  <c r="HN16" i="1"/>
  <c r="DW16" i="1"/>
  <c r="DY16" i="1" s="1"/>
  <c r="DS16" i="1"/>
  <c r="DT16" i="1" s="1"/>
  <c r="DH16" i="1"/>
  <c r="DJ16" i="1" s="1"/>
  <c r="DC16" i="1"/>
  <c r="DD16" i="1" s="1"/>
  <c r="CR16" i="1"/>
  <c r="CT16" i="1" s="1"/>
  <c r="CB16" i="1"/>
  <c r="BW16" i="1"/>
  <c r="BF16" i="1"/>
  <c r="AY16" i="1"/>
  <c r="R16" i="1"/>
  <c r="J16" i="1"/>
  <c r="BS16" i="1"/>
  <c r="BT16" i="1" s="1"/>
  <c r="BK16" i="1"/>
  <c r="BI16" i="1"/>
  <c r="GS16" i="1"/>
  <c r="VH16" i="1"/>
  <c r="MP16" i="1"/>
  <c r="MQ16" i="1" s="1"/>
  <c r="LW16" i="1"/>
  <c r="ABS16" i="1"/>
  <c r="ZO16" i="1"/>
  <c r="OL16" i="1"/>
  <c r="WT17" i="1"/>
  <c r="VB17" i="1"/>
  <c r="UO17" i="1"/>
  <c r="UQ17" i="1" s="1"/>
  <c r="SX17" i="1"/>
  <c r="RY17" i="1"/>
  <c r="OO17" i="1"/>
  <c r="OR17" i="1" s="1"/>
  <c r="OJ17" i="1"/>
  <c r="OE17" i="1"/>
  <c r="OA17" i="1"/>
  <c r="NX17" i="1"/>
  <c r="NT17" i="1"/>
  <c r="NQ17" i="1"/>
  <c r="NM17" i="1"/>
  <c r="NJ17" i="1"/>
  <c r="NE17" i="1"/>
  <c r="NB17" i="1"/>
  <c r="MX17" i="1"/>
  <c r="MU17" i="1"/>
  <c r="LO17" i="1"/>
  <c r="AAX17" i="1" s="1"/>
  <c r="ADG17" i="1" s="1"/>
  <c r="KM17" i="1"/>
  <c r="KN17" i="1" s="1"/>
  <c r="IZ17" i="1"/>
  <c r="JA17" i="1" s="1"/>
  <c r="HN17" i="1"/>
  <c r="DW17" i="1"/>
  <c r="DY17" i="1" s="1"/>
  <c r="DS17" i="1"/>
  <c r="DT17" i="1" s="1"/>
  <c r="DH17" i="1"/>
  <c r="DJ17" i="1" s="1"/>
  <c r="DC17" i="1"/>
  <c r="DD17" i="1" s="1"/>
  <c r="CR17" i="1"/>
  <c r="CT17" i="1" s="1"/>
  <c r="CB17" i="1"/>
  <c r="BW17" i="1"/>
  <c r="BF17" i="1"/>
  <c r="AY17" i="1"/>
  <c r="R17" i="1"/>
  <c r="J17" i="1"/>
  <c r="BS17" i="1"/>
  <c r="BT17" i="1" s="1"/>
  <c r="BK17" i="1"/>
  <c r="BI17" i="1"/>
  <c r="GS17" i="1"/>
  <c r="VH17" i="1"/>
  <c r="MP17" i="1"/>
  <c r="MQ17" i="1" s="1"/>
  <c r="LW17" i="1"/>
  <c r="ABS17" i="1"/>
  <c r="ZO17" i="1"/>
  <c r="OL17" i="1"/>
  <c r="WT18" i="1"/>
  <c r="VB18" i="1"/>
  <c r="UO18" i="1"/>
  <c r="UQ18" i="1" s="1"/>
  <c r="SX18" i="1"/>
  <c r="RY18" i="1"/>
  <c r="QV18" i="1"/>
  <c r="QN18" i="1"/>
  <c r="QL18" i="1"/>
  <c r="PE18" i="1"/>
  <c r="PB18" i="1"/>
  <c r="OU18" i="1"/>
  <c r="OY18" i="1" s="1"/>
  <c r="OC18" i="1"/>
  <c r="NV18" i="1"/>
  <c r="NO18" i="1"/>
  <c r="NG18" i="1"/>
  <c r="MZ18" i="1"/>
  <c r="LQ18" i="1"/>
  <c r="AAZ18" i="1" s="1"/>
  <c r="ADI18" i="1" s="1"/>
  <c r="LG18" i="1"/>
  <c r="KW18" i="1"/>
  <c r="KR18" i="1"/>
  <c r="KT18" i="1" s="1"/>
  <c r="KK18" i="1"/>
  <c r="KG18" i="1"/>
  <c r="JW18" i="1"/>
  <c r="JP18" i="1"/>
  <c r="JN18" i="1"/>
  <c r="JO18" i="1" s="1"/>
  <c r="JQ18" i="1" s="1"/>
  <c r="IJ18" i="1"/>
  <c r="HX18" i="1"/>
  <c r="HZ18" i="1" s="1"/>
  <c r="HT18" i="1"/>
  <c r="HU18" i="1" s="1"/>
  <c r="HP18" i="1"/>
  <c r="HR18" i="1" s="1"/>
  <c r="HJ18" i="1"/>
  <c r="HL18" i="1" s="1"/>
  <c r="HK18" i="1" s="1"/>
  <c r="GK18" i="1"/>
  <c r="FW18" i="1"/>
  <c r="J18" i="1"/>
  <c r="AD18" i="1"/>
  <c r="ZA18" i="1"/>
  <c r="GW18" i="1"/>
  <c r="ZB19" i="1"/>
  <c r="BO19" i="1"/>
  <c r="BP19" i="1" s="1"/>
  <c r="CD19" i="1"/>
  <c r="YL19" i="1"/>
  <c r="XW19" i="1"/>
  <c r="VI19" i="1"/>
  <c r="VJ19" i="1" s="1"/>
  <c r="MO19" i="1"/>
  <c r="KB20" i="1"/>
  <c r="KC20" i="1" s="1"/>
  <c r="JU20" i="1"/>
  <c r="JV20" i="1" s="1"/>
  <c r="JX20" i="1" s="1"/>
  <c r="IX20" i="1"/>
  <c r="IQ20" i="1"/>
  <c r="IR20" i="1" s="1"/>
  <c r="GF20" i="1"/>
  <c r="GB20" i="1"/>
  <c r="GC20" i="1" s="1"/>
  <c r="VK20" i="1"/>
  <c r="AD20" i="1"/>
  <c r="VE20" i="1"/>
  <c r="YC20" i="1" s="1"/>
  <c r="NC20" i="1"/>
  <c r="VG20" i="1"/>
  <c r="XZ20" i="1" s="1"/>
  <c r="NR20" i="1"/>
  <c r="VC20" i="1"/>
  <c r="XX20" i="1" s="1"/>
  <c r="NY20" i="1"/>
  <c r="GH21" i="1"/>
  <c r="GS21" i="1"/>
  <c r="VH21" i="1"/>
  <c r="VJ21" i="1" s="1"/>
  <c r="MP21" i="1"/>
  <c r="MQ21" i="1" s="1"/>
  <c r="LW21" i="1"/>
  <c r="ABS21" i="1"/>
  <c r="ZO21" i="1"/>
  <c r="OL21" i="1"/>
  <c r="OM21" i="1" s="1"/>
  <c r="VN21" i="1"/>
  <c r="WC21" i="1" s="1"/>
  <c r="YR21" i="1" s="1"/>
  <c r="PC21" i="1"/>
  <c r="UA21" i="1"/>
  <c r="QU21" i="1"/>
  <c r="QV21" i="1" s="1"/>
  <c r="QM21" i="1"/>
  <c r="VK22" i="1"/>
  <c r="AE22" i="1"/>
  <c r="ZB22" i="1"/>
  <c r="BS22" i="1"/>
  <c r="BT22" i="1" s="1"/>
  <c r="BK22" i="1"/>
  <c r="BI22" i="1"/>
  <c r="JL23" i="1"/>
  <c r="JG23" i="1"/>
  <c r="JH23" i="1" s="1"/>
  <c r="KB23" i="1"/>
  <c r="KC23" i="1" s="1"/>
  <c r="JU23" i="1"/>
  <c r="JV23" i="1" s="1"/>
  <c r="IX23" i="1"/>
  <c r="IQ23" i="1"/>
  <c r="IR23" i="1" s="1"/>
  <c r="GF23" i="1"/>
  <c r="GB23" i="1"/>
  <c r="GC23" i="1" s="1"/>
  <c r="VK23" i="1"/>
  <c r="AD23" i="1"/>
  <c r="BX23" i="1"/>
  <c r="VI23" i="1"/>
  <c r="MO23" i="1"/>
  <c r="GT24" i="1"/>
  <c r="ADV24" i="1"/>
  <c r="ADF24" i="1"/>
  <c r="AAT24" i="1"/>
  <c r="MO24" i="1"/>
  <c r="VI24" i="1"/>
  <c r="VJ24" i="1" s="1"/>
  <c r="BO25" i="1"/>
  <c r="BP25" i="1" s="1"/>
  <c r="ZB25" i="1"/>
  <c r="BS25" i="1"/>
  <c r="BT25" i="1" s="1"/>
  <c r="BK25" i="1"/>
  <c r="BI25" i="1"/>
  <c r="YL25" i="1"/>
  <c r="XW25" i="1"/>
  <c r="VH25" i="1"/>
  <c r="MP25" i="1"/>
  <c r="MQ25" i="1" s="1"/>
  <c r="LW25" i="1"/>
  <c r="VI26" i="1"/>
  <c r="MO26" i="1"/>
  <c r="YL27" i="1"/>
  <c r="XW27" i="1"/>
  <c r="ZM27" i="1"/>
  <c r="IL27" i="1"/>
  <c r="IK27" i="1"/>
  <c r="VH27" i="1"/>
  <c r="MP27" i="1"/>
  <c r="MQ27" i="1" s="1"/>
  <c r="LW27" i="1"/>
  <c r="YP27" i="1"/>
  <c r="YA27" i="1"/>
  <c r="VK28" i="1"/>
  <c r="AE28" i="1"/>
  <c r="AD28" i="1"/>
  <c r="ADV28" i="1"/>
  <c r="ADF28" i="1"/>
  <c r="AAT28" i="1"/>
  <c r="VI28" i="1"/>
  <c r="MO28" i="1"/>
  <c r="AE29" i="1"/>
  <c r="VK29" i="1"/>
  <c r="AD29" i="1"/>
  <c r="JQ29" i="1"/>
  <c r="YP29" i="1"/>
  <c r="YA29" i="1"/>
  <c r="ADZ29" i="1"/>
  <c r="ADL29" i="1"/>
  <c r="ABU29" i="1"/>
  <c r="ZP29" i="1"/>
  <c r="OX29" i="1"/>
  <c r="ZB30" i="1"/>
  <c r="BO30" i="1"/>
  <c r="BP30" i="1" s="1"/>
  <c r="BS30" i="1"/>
  <c r="BT30" i="1" s="1"/>
  <c r="BK30" i="1"/>
  <c r="BI30" i="1"/>
  <c r="BJ30" i="1" s="1"/>
  <c r="O9" i="1"/>
  <c r="BO9" i="1"/>
  <c r="BP9" i="1" s="1"/>
  <c r="CF9" i="1"/>
  <c r="CV9" i="1"/>
  <c r="CW9" i="1" s="1"/>
  <c r="CY9" i="1" s="1"/>
  <c r="CX9" i="1"/>
  <c r="DC9" i="1"/>
  <c r="DD9" i="1" s="1"/>
  <c r="DH9" i="1"/>
  <c r="DJ9" i="1" s="1"/>
  <c r="EQ9" i="1"/>
  <c r="FW9" i="1"/>
  <c r="GK9" i="1"/>
  <c r="HJ9" i="1"/>
  <c r="HL9" i="1" s="1"/>
  <c r="HK9" i="1" s="1"/>
  <c r="HP9" i="1"/>
  <c r="HR9" i="1" s="1"/>
  <c r="HT9" i="1"/>
  <c r="HU9" i="1" s="1"/>
  <c r="HX9" i="1"/>
  <c r="HZ9" i="1" s="1"/>
  <c r="IJ9" i="1"/>
  <c r="JN9" i="1"/>
  <c r="JO9" i="1" s="1"/>
  <c r="JQ9" i="1" s="1"/>
  <c r="JP9" i="1"/>
  <c r="JW9" i="1"/>
  <c r="KG9" i="1"/>
  <c r="KK9" i="1"/>
  <c r="KR9" i="1"/>
  <c r="KT9" i="1" s="1"/>
  <c r="KW9" i="1"/>
  <c r="LG9" i="1"/>
  <c r="LQ9" i="1"/>
  <c r="AAZ9" i="1" s="1"/>
  <c r="ADI9" i="1" s="1"/>
  <c r="MZ9" i="1"/>
  <c r="NG9" i="1"/>
  <c r="NO9" i="1"/>
  <c r="NV9" i="1"/>
  <c r="OC9" i="1"/>
  <c r="OU9" i="1"/>
  <c r="OY9" i="1" s="1"/>
  <c r="PB9" i="1"/>
  <c r="PE9" i="1"/>
  <c r="QV9" i="1"/>
  <c r="RY9" i="1"/>
  <c r="SX9" i="1"/>
  <c r="UA9" i="1"/>
  <c r="UO9" i="1"/>
  <c r="UQ9" i="1" s="1"/>
  <c r="VB9" i="1"/>
  <c r="VH9" i="1"/>
  <c r="VJ9" i="1" s="1"/>
  <c r="WT9" i="1"/>
  <c r="ZA9" i="1"/>
  <c r="ZO9" i="1"/>
  <c r="ABS9" i="1"/>
  <c r="AEB9" i="1"/>
  <c r="BO10" i="1"/>
  <c r="BP10" i="1" s="1"/>
  <c r="CJ10" i="1"/>
  <c r="CY10" i="1"/>
  <c r="DO10" i="1"/>
  <c r="ER10" i="1"/>
  <c r="FG10" i="1"/>
  <c r="IL10" i="1"/>
  <c r="JC10" i="1"/>
  <c r="UA10" i="1"/>
  <c r="VH10" i="1"/>
  <c r="VJ10" i="1" s="1"/>
  <c r="VN10" i="1"/>
  <c r="WC10" i="1" s="1"/>
  <c r="YR10" i="1" s="1"/>
  <c r="YD10" i="1"/>
  <c r="ZM10" i="1"/>
  <c r="ZO10" i="1"/>
  <c r="ABS10" i="1"/>
  <c r="ADL10" i="1"/>
  <c r="ADZ10" i="1"/>
  <c r="AEB10" i="1"/>
  <c r="AC11" i="1"/>
  <c r="CN11" i="1"/>
  <c r="CO11" i="1" s="1"/>
  <c r="EG11" i="1"/>
  <c r="EK11" i="1"/>
  <c r="EM11" i="1" s="1"/>
  <c r="FD11" i="1"/>
  <c r="FE11" i="1" s="1"/>
  <c r="FG11" i="1" s="1"/>
  <c r="FK11" i="1"/>
  <c r="FL11" i="1" s="1"/>
  <c r="ABW11" i="1" s="1"/>
  <c r="FO11" i="1"/>
  <c r="FQ11" i="1" s="1"/>
  <c r="JG11" i="1"/>
  <c r="JH11" i="1" s="1"/>
  <c r="JL11" i="1"/>
  <c r="UI11" i="1"/>
  <c r="UJ11" i="1" s="1"/>
  <c r="VC11" i="1"/>
  <c r="XX11" i="1" s="1"/>
  <c r="VE11" i="1"/>
  <c r="YC11" i="1" s="1"/>
  <c r="VG11" i="1"/>
  <c r="XZ11" i="1" s="1"/>
  <c r="VI11" i="1"/>
  <c r="ZD11" i="1"/>
  <c r="ZF11" i="1"/>
  <c r="ABB11" i="1"/>
  <c r="ADN11" i="1" s="1"/>
  <c r="ABG11" i="1"/>
  <c r="ADK11" i="1" s="1"/>
  <c r="O12" i="1"/>
  <c r="BO12" i="1"/>
  <c r="BP12" i="1" s="1"/>
  <c r="CF12" i="1"/>
  <c r="CV12" i="1"/>
  <c r="CW12" i="1" s="1"/>
  <c r="DC12" i="1"/>
  <c r="DD12" i="1" s="1"/>
  <c r="DH12" i="1"/>
  <c r="DJ12" i="1" s="1"/>
  <c r="HJ12" i="1"/>
  <c r="HL12" i="1" s="1"/>
  <c r="HK12" i="1" s="1"/>
  <c r="HP12" i="1"/>
  <c r="HR12" i="1" s="1"/>
  <c r="HT12" i="1"/>
  <c r="HU12" i="1" s="1"/>
  <c r="HX12" i="1"/>
  <c r="HZ12" i="1" s="1"/>
  <c r="IJ12" i="1"/>
  <c r="JN12" i="1"/>
  <c r="JO12" i="1" s="1"/>
  <c r="KG12" i="1"/>
  <c r="KK12" i="1"/>
  <c r="KR12" i="1"/>
  <c r="KT12" i="1" s="1"/>
  <c r="LG12" i="1"/>
  <c r="LQ12" i="1"/>
  <c r="AAZ12" i="1" s="1"/>
  <c r="ADI12" i="1" s="1"/>
  <c r="MZ12" i="1"/>
  <c r="NG12" i="1"/>
  <c r="NO12" i="1"/>
  <c r="NV12" i="1"/>
  <c r="OC12" i="1"/>
  <c r="OU12" i="1"/>
  <c r="OY12" i="1" s="1"/>
  <c r="PB12" i="1"/>
  <c r="PE12" i="1"/>
  <c r="QV12" i="1"/>
  <c r="RY12" i="1"/>
  <c r="SX12" i="1"/>
  <c r="UA12" i="1"/>
  <c r="UO12" i="1"/>
  <c r="UQ12" i="1" s="1"/>
  <c r="VB12" i="1"/>
  <c r="VH12" i="1"/>
  <c r="WT12" i="1"/>
  <c r="ZA12" i="1"/>
  <c r="ZO12" i="1"/>
  <c r="AEB12" i="1"/>
  <c r="CN13" i="1"/>
  <c r="CO13" i="1" s="1"/>
  <c r="GW13" i="1"/>
  <c r="VN13" i="1"/>
  <c r="WC13" i="1" s="1"/>
  <c r="YR13" i="1" s="1"/>
  <c r="YD13" i="1"/>
  <c r="BK14" i="1"/>
  <c r="BS14" i="1"/>
  <c r="BT14" i="1" s="1"/>
  <c r="EG14" i="1"/>
  <c r="FK14" i="1"/>
  <c r="FL14" i="1" s="1"/>
  <c r="ABW14" i="1" s="1"/>
  <c r="IX14" i="1"/>
  <c r="JU14" i="1"/>
  <c r="JV14" i="1" s="1"/>
  <c r="JX14" i="1" s="1"/>
  <c r="KH14" i="1"/>
  <c r="VH14" i="1"/>
  <c r="VJ14" i="1" s="1"/>
  <c r="ZO14" i="1"/>
  <c r="AEB14" i="1"/>
  <c r="BK15" i="1"/>
  <c r="BS15" i="1"/>
  <c r="BT15" i="1" s="1"/>
  <c r="VN15" i="1"/>
  <c r="WC15" i="1" s="1"/>
  <c r="YR15" i="1" s="1"/>
  <c r="YD15" i="1"/>
  <c r="BO16" i="1"/>
  <c r="BP16" i="1" s="1"/>
  <c r="ZA16" i="1"/>
  <c r="HJ16" i="1"/>
  <c r="HL16" i="1" s="1"/>
  <c r="HK16" i="1" s="1"/>
  <c r="HP16" i="1"/>
  <c r="HR16" i="1" s="1"/>
  <c r="HX16" i="1"/>
  <c r="HZ16" i="1" s="1"/>
  <c r="IJ16" i="1"/>
  <c r="KG16" i="1"/>
  <c r="LG16" i="1"/>
  <c r="LQ16" i="1"/>
  <c r="AAZ16" i="1" s="1"/>
  <c r="ADI16" i="1" s="1"/>
  <c r="ZI16" i="1"/>
  <c r="MZ16" i="1"/>
  <c r="NG16" i="1"/>
  <c r="NO16" i="1"/>
  <c r="NV16" i="1"/>
  <c r="OC16" i="1"/>
  <c r="PE16" i="1"/>
  <c r="RU16" i="1"/>
  <c r="SZ16" i="1"/>
  <c r="TM16" i="1"/>
  <c r="UN16" i="1"/>
  <c r="VA16" i="1"/>
  <c r="VI16" i="1"/>
  <c r="VM16" i="1"/>
  <c r="WM16" i="1"/>
  <c r="WN16" i="1" s="1"/>
  <c r="ZB16" i="1"/>
  <c r="BO17" i="1"/>
  <c r="BP17" i="1" s="1"/>
  <c r="ZA17" i="1"/>
  <c r="HJ17" i="1"/>
  <c r="HL17" i="1" s="1"/>
  <c r="HK17" i="1" s="1"/>
  <c r="HP17" i="1"/>
  <c r="HR17" i="1" s="1"/>
  <c r="HX17" i="1"/>
  <c r="HZ17" i="1" s="1"/>
  <c r="IJ17" i="1"/>
  <c r="KG17" i="1"/>
  <c r="LG17" i="1"/>
  <c r="LQ17" i="1"/>
  <c r="AAZ17" i="1" s="1"/>
  <c r="ADI17" i="1" s="1"/>
  <c r="ZI17" i="1"/>
  <c r="MZ17" i="1"/>
  <c r="NG17" i="1"/>
  <c r="NO17" i="1"/>
  <c r="NV17" i="1"/>
  <c r="OC17" i="1"/>
  <c r="PE17" i="1"/>
  <c r="RU17" i="1"/>
  <c r="SZ17" i="1"/>
  <c r="TM17" i="1"/>
  <c r="UN17" i="1"/>
  <c r="VA17" i="1"/>
  <c r="VI17" i="1"/>
  <c r="VM17" i="1"/>
  <c r="WM17" i="1"/>
  <c r="WN17" i="1" s="1"/>
  <c r="ZB17" i="1"/>
  <c r="BI18" i="1"/>
  <c r="BW18" i="1"/>
  <c r="CI18" i="1"/>
  <c r="CX18" i="1"/>
  <c r="DC18" i="1"/>
  <c r="DD18" i="1" s="1"/>
  <c r="DN18" i="1"/>
  <c r="DS18" i="1"/>
  <c r="DT18" i="1" s="1"/>
  <c r="JB18" i="1"/>
  <c r="KM18" i="1"/>
  <c r="KN18" i="1" s="1"/>
  <c r="VH18" i="1"/>
  <c r="MP18" i="1"/>
  <c r="MQ18" i="1" s="1"/>
  <c r="MU18" i="1"/>
  <c r="NB18" i="1"/>
  <c r="NJ18" i="1"/>
  <c r="NQ18" i="1"/>
  <c r="NX18" i="1"/>
  <c r="OE18" i="1"/>
  <c r="OJ18" i="1"/>
  <c r="OL18" i="1"/>
  <c r="RU18" i="1"/>
  <c r="SZ18" i="1"/>
  <c r="TM18" i="1"/>
  <c r="UC18" i="1"/>
  <c r="VK18" i="1"/>
  <c r="AAS18" i="1"/>
  <c r="ABJ18" i="1"/>
  <c r="BK19" i="1"/>
  <c r="BS19" i="1"/>
  <c r="BT19" i="1" s="1"/>
  <c r="MR19" i="1"/>
  <c r="MS19" i="1" s="1"/>
  <c r="YD19" i="1"/>
  <c r="ZE19" i="1"/>
  <c r="ABA19" i="1"/>
  <c r="ADM19" i="1" s="1"/>
  <c r="ABI19" i="1"/>
  <c r="CN20" i="1"/>
  <c r="CO20" i="1" s="1"/>
  <c r="EK20" i="1"/>
  <c r="EM20" i="1" s="1"/>
  <c r="EZ20" i="1"/>
  <c r="FB20" i="1" s="1"/>
  <c r="FO20" i="1"/>
  <c r="FQ20" i="1" s="1"/>
  <c r="JG20" i="1"/>
  <c r="JH20" i="1" s="1"/>
  <c r="MP20" i="1"/>
  <c r="MQ20" i="1" s="1"/>
  <c r="OS20" i="1"/>
  <c r="VD20" i="1"/>
  <c r="YB20" i="1" s="1"/>
  <c r="VH20" i="1"/>
  <c r="AAT20" i="1"/>
  <c r="AEB20" i="1"/>
  <c r="AD21" i="1"/>
  <c r="YE21" i="1"/>
  <c r="ZP21" i="1"/>
  <c r="AAS21" i="1"/>
  <c r="ABJ21" i="1"/>
  <c r="ABP21" i="1"/>
  <c r="ABU21" i="1"/>
  <c r="AD22" i="1"/>
  <c r="BO22" i="1"/>
  <c r="BP22" i="1" s="1"/>
  <c r="VN22" i="1"/>
  <c r="WC22" i="1" s="1"/>
  <c r="YR22" i="1" s="1"/>
  <c r="YD22" i="1"/>
  <c r="CN23" i="1"/>
  <c r="CO23" i="1" s="1"/>
  <c r="EK23" i="1"/>
  <c r="EM23" i="1" s="1"/>
  <c r="EZ23" i="1"/>
  <c r="FB23" i="1" s="1"/>
  <c r="FO23" i="1"/>
  <c r="FQ23" i="1" s="1"/>
  <c r="VJ23" i="1"/>
  <c r="VJ26" i="1"/>
  <c r="JL13" i="1"/>
  <c r="JG13" i="1"/>
  <c r="JH13" i="1" s="1"/>
  <c r="GF13" i="1"/>
  <c r="GB13" i="1"/>
  <c r="GC13" i="1" s="1"/>
  <c r="ZB13" i="1"/>
  <c r="BO13" i="1"/>
  <c r="BP13" i="1" s="1"/>
  <c r="CD13" i="1"/>
  <c r="AAS13" i="1"/>
  <c r="HA13" i="1"/>
  <c r="HB13" i="1" s="1"/>
  <c r="MP13" i="1"/>
  <c r="MQ13" i="1" s="1"/>
  <c r="LW13" i="1"/>
  <c r="QU13" i="1"/>
  <c r="QV13" i="1" s="1"/>
  <c r="QM13" i="1"/>
  <c r="BX14" i="1"/>
  <c r="JL15" i="1"/>
  <c r="JG15" i="1"/>
  <c r="JH15" i="1" s="1"/>
  <c r="FO15" i="1"/>
  <c r="FQ15" i="1" s="1"/>
  <c r="FK15" i="1"/>
  <c r="FL15" i="1" s="1"/>
  <c r="ABW15" i="1" s="1"/>
  <c r="FD15" i="1"/>
  <c r="FE15" i="1" s="1"/>
  <c r="EK15" i="1"/>
  <c r="EM15" i="1" s="1"/>
  <c r="EG15" i="1"/>
  <c r="CN15" i="1"/>
  <c r="CO15" i="1" s="1"/>
  <c r="BX15" i="1"/>
  <c r="CW15" i="1"/>
  <c r="VA15" i="1"/>
  <c r="GS15" i="1"/>
  <c r="AAS15" i="1"/>
  <c r="HA15" i="1"/>
  <c r="HB15" i="1" s="1"/>
  <c r="MP15" i="1"/>
  <c r="MQ15" i="1" s="1"/>
  <c r="LW15" i="1"/>
  <c r="QU15" i="1"/>
  <c r="QV15" i="1" s="1"/>
  <c r="QM15" i="1"/>
  <c r="AEB15" i="1"/>
  <c r="ACR15" i="1"/>
  <c r="UA16" i="1"/>
  <c r="QU16" i="1"/>
  <c r="QM16" i="1"/>
  <c r="QK16" i="1" s="1"/>
  <c r="QL16" i="1" s="1"/>
  <c r="UA17" i="1"/>
  <c r="QU17" i="1"/>
  <c r="QM17" i="1"/>
  <c r="QK17" i="1" s="1"/>
  <c r="QL17" i="1" s="1"/>
  <c r="BO18" i="1"/>
  <c r="BP18" i="1" s="1"/>
  <c r="WM19" i="1"/>
  <c r="WN19" i="1" s="1"/>
  <c r="VM19" i="1"/>
  <c r="UN19" i="1"/>
  <c r="UC19" i="1"/>
  <c r="TM19" i="1"/>
  <c r="SZ19" i="1"/>
  <c r="RU19" i="1"/>
  <c r="QV19" i="1"/>
  <c r="QN19" i="1"/>
  <c r="PE19" i="1"/>
  <c r="PB19" i="1"/>
  <c r="OU19" i="1"/>
  <c r="OY19" i="1" s="1"/>
  <c r="OW19" i="1" s="1"/>
  <c r="OC19" i="1"/>
  <c r="NV19" i="1"/>
  <c r="NO19" i="1"/>
  <c r="NG19" i="1"/>
  <c r="MZ19" i="1"/>
  <c r="LQ19" i="1"/>
  <c r="AAZ19" i="1" s="1"/>
  <c r="ADI19" i="1" s="1"/>
  <c r="LG19" i="1"/>
  <c r="KW19" i="1"/>
  <c r="KR19" i="1"/>
  <c r="KT19" i="1" s="1"/>
  <c r="KK19" i="1"/>
  <c r="KG19" i="1"/>
  <c r="JW19" i="1"/>
  <c r="JP19" i="1"/>
  <c r="JN19" i="1"/>
  <c r="JO19" i="1" s="1"/>
  <c r="JQ19" i="1" s="1"/>
  <c r="IJ19" i="1"/>
  <c r="HX19" i="1"/>
  <c r="HZ19" i="1" s="1"/>
  <c r="HT19" i="1"/>
  <c r="HU19" i="1" s="1"/>
  <c r="HP19" i="1"/>
  <c r="HR19" i="1" s="1"/>
  <c r="HJ19" i="1"/>
  <c r="HL19" i="1" s="1"/>
  <c r="HK19" i="1" s="1"/>
  <c r="GK19" i="1"/>
  <c r="FW19" i="1"/>
  <c r="J19" i="1"/>
  <c r="ZB20" i="1"/>
  <c r="BO20" i="1"/>
  <c r="BP20" i="1" s="1"/>
  <c r="CD20" i="1"/>
  <c r="VI20" i="1"/>
  <c r="MO20" i="1"/>
  <c r="BS21" i="1"/>
  <c r="BT21" i="1" s="1"/>
  <c r="BK21" i="1"/>
  <c r="BI21" i="1"/>
  <c r="BJ21" i="1" s="1"/>
  <c r="ZM21" i="1"/>
  <c r="IK21" i="1"/>
  <c r="ADZ21" i="1"/>
  <c r="ADL21" i="1"/>
  <c r="UF21" i="1"/>
  <c r="TN21" i="1"/>
  <c r="UD21" i="1"/>
  <c r="UE21" i="1" s="1"/>
  <c r="WM22" i="1"/>
  <c r="WN22" i="1" s="1"/>
  <c r="VM22" i="1"/>
  <c r="UN22" i="1"/>
  <c r="UC22" i="1"/>
  <c r="TM22" i="1"/>
  <c r="SZ22" i="1"/>
  <c r="RU22" i="1"/>
  <c r="OW22" i="1"/>
  <c r="OO22" i="1"/>
  <c r="OR22" i="1" s="1"/>
  <c r="OJ22" i="1"/>
  <c r="OE22" i="1"/>
  <c r="OA22" i="1"/>
  <c r="NX22" i="1"/>
  <c r="NT22" i="1"/>
  <c r="NQ22" i="1"/>
  <c r="NM22" i="1"/>
  <c r="NJ22" i="1"/>
  <c r="NE22" i="1"/>
  <c r="NB22" i="1"/>
  <c r="MX22" i="1"/>
  <c r="MU22" i="1"/>
  <c r="LO22" i="1"/>
  <c r="AAX22" i="1" s="1"/>
  <c r="ADG22" i="1" s="1"/>
  <c r="KM22" i="1"/>
  <c r="KN22" i="1" s="1"/>
  <c r="JB22" i="1"/>
  <c r="IZ22" i="1"/>
  <c r="JA22" i="1" s="1"/>
  <c r="JC22" i="1" s="1"/>
  <c r="HN22" i="1"/>
  <c r="FF22" i="1"/>
  <c r="EB22" i="1"/>
  <c r="DW22" i="1"/>
  <c r="DY22" i="1" s="1"/>
  <c r="DS22" i="1"/>
  <c r="DT22" i="1" s="1"/>
  <c r="DN22" i="1"/>
  <c r="DL22" i="1"/>
  <c r="DM22" i="1" s="1"/>
  <c r="DO22" i="1" s="1"/>
  <c r="CR22" i="1"/>
  <c r="CT22" i="1" s="1"/>
  <c r="CI22" i="1"/>
  <c r="CG22" i="1"/>
  <c r="CB22" i="1"/>
  <c r="BW22" i="1"/>
  <c r="BF22" i="1"/>
  <c r="AY22" i="1"/>
  <c r="R22" i="1"/>
  <c r="J22" i="1"/>
  <c r="VA22" i="1"/>
  <c r="GS22" i="1"/>
  <c r="AAS22" i="1"/>
  <c r="HA22" i="1"/>
  <c r="HB22" i="1" s="1"/>
  <c r="MP22" i="1"/>
  <c r="MQ22" i="1" s="1"/>
  <c r="LW22" i="1"/>
  <c r="QU22" i="1"/>
  <c r="QV22" i="1" s="1"/>
  <c r="QM22" i="1"/>
  <c r="ZB23" i="1"/>
  <c r="BO23" i="1"/>
  <c r="BP23" i="1" s="1"/>
  <c r="CD23" i="1"/>
  <c r="UA23" i="1"/>
  <c r="QU23" i="1"/>
  <c r="QV23" i="1" s="1"/>
  <c r="QM23" i="1"/>
  <c r="QK23" i="1" s="1"/>
  <c r="BO24" i="1"/>
  <c r="BP24" i="1" s="1"/>
  <c r="ZB24" i="1"/>
  <c r="BS24" i="1"/>
  <c r="BT24" i="1" s="1"/>
  <c r="BK24" i="1"/>
  <c r="BI24" i="1"/>
  <c r="GT25" i="1"/>
  <c r="AAT25" i="1"/>
  <c r="ADV25" i="1"/>
  <c r="ADF25" i="1"/>
  <c r="ZI25" i="1"/>
  <c r="ABJ25" i="1"/>
  <c r="AE26" i="1"/>
  <c r="VK26" i="1"/>
  <c r="AD26" i="1"/>
  <c r="UA26" i="1"/>
  <c r="QU26" i="1"/>
  <c r="QM26" i="1"/>
  <c r="QK26" i="1" s="1"/>
  <c r="BO27" i="1"/>
  <c r="BP27" i="1" s="1"/>
  <c r="ZB27" i="1"/>
  <c r="BS27" i="1"/>
  <c r="BT27" i="1" s="1"/>
  <c r="BK27" i="1"/>
  <c r="BI27" i="1"/>
  <c r="BJ27" i="1" s="1"/>
  <c r="GT27" i="1"/>
  <c r="ADV27" i="1"/>
  <c r="ADF27" i="1"/>
  <c r="ADE27" i="1" s="1"/>
  <c r="AAT27" i="1"/>
  <c r="JC27" i="1"/>
  <c r="ZI27" i="1"/>
  <c r="ABJ27" i="1"/>
  <c r="ADZ27" i="1"/>
  <c r="ADL27" i="1"/>
  <c r="QW27" i="1"/>
  <c r="QX27" i="1" s="1"/>
  <c r="TZ27" i="1" s="1"/>
  <c r="QQ27" i="1"/>
  <c r="QS27" i="1" s="1"/>
  <c r="YL28" i="1"/>
  <c r="XW28" i="1"/>
  <c r="IA29" i="1"/>
  <c r="IB29" i="1" s="1"/>
  <c r="VI29" i="1"/>
  <c r="MO29" i="1"/>
  <c r="UA29" i="1"/>
  <c r="QU29" i="1"/>
  <c r="QV29" i="1" s="1"/>
  <c r="QM29" i="1"/>
  <c r="DO30" i="1"/>
  <c r="J9" i="1"/>
  <c r="R9" i="1"/>
  <c r="AY9" i="1"/>
  <c r="BF9" i="1"/>
  <c r="BI9" i="1"/>
  <c r="BJ9" i="1" s="1"/>
  <c r="BK9" i="1"/>
  <c r="BS9" i="1"/>
  <c r="BT9" i="1" s="1"/>
  <c r="BW9" i="1"/>
  <c r="CB9" i="1"/>
  <c r="CG9" i="1"/>
  <c r="CI9" i="1"/>
  <c r="CR9" i="1"/>
  <c r="CT9" i="1" s="1"/>
  <c r="DL9" i="1"/>
  <c r="DM9" i="1" s="1"/>
  <c r="DO9" i="1" s="1"/>
  <c r="DN9" i="1"/>
  <c r="DS9" i="1"/>
  <c r="DT9" i="1" s="1"/>
  <c r="DW9" i="1"/>
  <c r="DY9" i="1" s="1"/>
  <c r="EB9" i="1"/>
  <c r="FF9" i="1"/>
  <c r="GS9" i="1"/>
  <c r="HA9" i="1"/>
  <c r="HB9" i="1" s="1"/>
  <c r="HN9" i="1"/>
  <c r="IZ9" i="1"/>
  <c r="JA9" i="1" s="1"/>
  <c r="JC9" i="1" s="1"/>
  <c r="JB9" i="1"/>
  <c r="KM9" i="1"/>
  <c r="KN9" i="1" s="1"/>
  <c r="LO9" i="1"/>
  <c r="AAX9" i="1" s="1"/>
  <c r="ADG9" i="1" s="1"/>
  <c r="LW9" i="1"/>
  <c r="MU9" i="1"/>
  <c r="MX9" i="1"/>
  <c r="NB9" i="1"/>
  <c r="NE9" i="1"/>
  <c r="NJ9" i="1"/>
  <c r="NM9" i="1"/>
  <c r="NQ9" i="1"/>
  <c r="NT9" i="1"/>
  <c r="NX9" i="1"/>
  <c r="OA9" i="1"/>
  <c r="OE9" i="1"/>
  <c r="OJ9" i="1"/>
  <c r="OO9" i="1"/>
  <c r="OR9" i="1" s="1"/>
  <c r="OW9" i="1"/>
  <c r="QM9" i="1"/>
  <c r="QK9" i="1" s="1"/>
  <c r="QL9" i="1" s="1"/>
  <c r="RU9" i="1"/>
  <c r="SZ9" i="1"/>
  <c r="TM9" i="1"/>
  <c r="UC9" i="1"/>
  <c r="UN9" i="1"/>
  <c r="VM9" i="1"/>
  <c r="BI10" i="1"/>
  <c r="BJ10" i="1" s="1"/>
  <c r="BK10" i="1"/>
  <c r="BS10" i="1"/>
  <c r="BT10" i="1" s="1"/>
  <c r="CN10" i="1"/>
  <c r="CO10" i="1" s="1"/>
  <c r="EG10" i="1"/>
  <c r="EK10" i="1"/>
  <c r="EM10" i="1" s="1"/>
  <c r="EZ10" i="1"/>
  <c r="FB10" i="1" s="1"/>
  <c r="FK10" i="1"/>
  <c r="FL10" i="1" s="1"/>
  <c r="ABW10" i="1" s="1"/>
  <c r="FO10" i="1"/>
  <c r="FQ10" i="1" s="1"/>
  <c r="GS10" i="1"/>
  <c r="HA10" i="1"/>
  <c r="HB10" i="1" s="1"/>
  <c r="JG10" i="1"/>
  <c r="JH10" i="1" s="1"/>
  <c r="LW10" i="1"/>
  <c r="QM10" i="1"/>
  <c r="UE10" i="1"/>
  <c r="YA10" i="1"/>
  <c r="XY10" i="1" s="1"/>
  <c r="O11" i="1"/>
  <c r="CF11" i="1"/>
  <c r="CH11" i="1"/>
  <c r="CV11" i="1"/>
  <c r="CW11" i="1" s="1"/>
  <c r="CX11" i="1"/>
  <c r="DC11" i="1"/>
  <c r="DH11" i="1"/>
  <c r="DJ11" i="1" s="1"/>
  <c r="EO11" i="1"/>
  <c r="EP11" i="1" s="1"/>
  <c r="ER11" i="1" s="1"/>
  <c r="EQ11" i="1"/>
  <c r="EZ11" i="1"/>
  <c r="FB11" i="1" s="1"/>
  <c r="FS11" i="1"/>
  <c r="FT11" i="1" s="1"/>
  <c r="FU11" i="1"/>
  <c r="FV11" i="1" s="1"/>
  <c r="FX11" i="1" s="1"/>
  <c r="FW11" i="1"/>
  <c r="GB11" i="1"/>
  <c r="GC11" i="1" s="1"/>
  <c r="GF11" i="1"/>
  <c r="GK11" i="1"/>
  <c r="GW11" i="1"/>
  <c r="GX11" i="1" s="1"/>
  <c r="HJ11" i="1"/>
  <c r="HL11" i="1" s="1"/>
  <c r="HK11" i="1" s="1"/>
  <c r="HP11" i="1"/>
  <c r="HR11" i="1" s="1"/>
  <c r="HT11" i="1"/>
  <c r="HU11" i="1" s="1"/>
  <c r="HX11" i="1"/>
  <c r="HZ11" i="1" s="1"/>
  <c r="IJ11" i="1"/>
  <c r="IQ11" i="1"/>
  <c r="IR11" i="1" s="1"/>
  <c r="IX11" i="1"/>
  <c r="JN11" i="1"/>
  <c r="JO11" i="1" s="1"/>
  <c r="JQ11" i="1" s="1"/>
  <c r="JP11" i="1"/>
  <c r="JU11" i="1"/>
  <c r="JV11" i="1" s="1"/>
  <c r="JX11" i="1" s="1"/>
  <c r="JW11" i="1"/>
  <c r="KG11" i="1"/>
  <c r="KH11" i="1" s="1"/>
  <c r="KK11" i="1"/>
  <c r="KR11" i="1"/>
  <c r="KT11" i="1" s="1"/>
  <c r="KW11" i="1"/>
  <c r="LG11" i="1"/>
  <c r="LQ11" i="1"/>
  <c r="AAZ11" i="1" s="1"/>
  <c r="ADI11" i="1" s="1"/>
  <c r="MV11" i="1"/>
  <c r="MZ11" i="1"/>
  <c r="NG11" i="1"/>
  <c r="NK11" i="1"/>
  <c r="NO11" i="1"/>
  <c r="NV11" i="1"/>
  <c r="OC11" i="1"/>
  <c r="OU11" i="1"/>
  <c r="OY11" i="1" s="1"/>
  <c r="OW11" i="1" s="1"/>
  <c r="PB11" i="1"/>
  <c r="PE11" i="1"/>
  <c r="QL11" i="1"/>
  <c r="QN11" i="1"/>
  <c r="QV11" i="1"/>
  <c r="RY11" i="1"/>
  <c r="SX11" i="1"/>
  <c r="TN11" i="1"/>
  <c r="UD11" i="1"/>
  <c r="UE11" i="1" s="1"/>
  <c r="UO11" i="1"/>
  <c r="UQ11" i="1" s="1"/>
  <c r="VB11" i="1"/>
  <c r="OS11" i="1" s="1"/>
  <c r="ZC11" i="1"/>
  <c r="ZO11" i="1"/>
  <c r="AAT11" i="1"/>
  <c r="ADF11" i="1"/>
  <c r="ADE11" i="1" s="1"/>
  <c r="J12" i="1"/>
  <c r="R12" i="1"/>
  <c r="AY12" i="1"/>
  <c r="BF12" i="1"/>
  <c r="BI12" i="1"/>
  <c r="BJ12" i="1" s="1"/>
  <c r="BK12" i="1"/>
  <c r="BS12" i="1"/>
  <c r="BT12" i="1" s="1"/>
  <c r="BW12" i="1"/>
  <c r="CB12" i="1"/>
  <c r="CG12" i="1"/>
  <c r="CR12" i="1"/>
  <c r="CT12" i="1" s="1"/>
  <c r="DL12" i="1"/>
  <c r="DM12" i="1" s="1"/>
  <c r="DS12" i="1"/>
  <c r="DT12" i="1" s="1"/>
  <c r="DW12" i="1"/>
  <c r="DY12" i="1" s="1"/>
  <c r="GS12" i="1"/>
  <c r="HA12" i="1"/>
  <c r="HB12" i="1" s="1"/>
  <c r="HN12" i="1"/>
  <c r="IZ12" i="1"/>
  <c r="JA12" i="1" s="1"/>
  <c r="KM12" i="1"/>
  <c r="KN12" i="1" s="1"/>
  <c r="LO12" i="1"/>
  <c r="AAX12" i="1" s="1"/>
  <c r="ADG12" i="1" s="1"/>
  <c r="LW12" i="1"/>
  <c r="MU12" i="1"/>
  <c r="MX12" i="1"/>
  <c r="NB12" i="1"/>
  <c r="NE12" i="1"/>
  <c r="NJ12" i="1"/>
  <c r="NM12" i="1"/>
  <c r="NQ12" i="1"/>
  <c r="NT12" i="1"/>
  <c r="NX12" i="1"/>
  <c r="OA12" i="1"/>
  <c r="OE12" i="1"/>
  <c r="OJ12" i="1"/>
  <c r="OL12" i="1"/>
  <c r="OO12" i="1"/>
  <c r="OR12" i="1" s="1"/>
  <c r="OW12" i="1"/>
  <c r="QM12" i="1"/>
  <c r="QK12" i="1" s="1"/>
  <c r="QL12" i="1" s="1"/>
  <c r="RU12" i="1"/>
  <c r="SZ12" i="1"/>
  <c r="TM12" i="1"/>
  <c r="UC12" i="1"/>
  <c r="UN12" i="1"/>
  <c r="VM12" i="1"/>
  <c r="AC13" i="1"/>
  <c r="BK13" i="1"/>
  <c r="BS13" i="1"/>
  <c r="BT13" i="1" s="1"/>
  <c r="EG13" i="1"/>
  <c r="FK13" i="1"/>
  <c r="FL13" i="1" s="1"/>
  <c r="ABW13" i="1" s="1"/>
  <c r="VA13" i="1"/>
  <c r="IC13" i="1"/>
  <c r="IX13" i="1"/>
  <c r="JU13" i="1"/>
  <c r="JV13" i="1" s="1"/>
  <c r="JX13" i="1" s="1"/>
  <c r="KH13" i="1"/>
  <c r="MO13" i="1"/>
  <c r="VH13" i="1"/>
  <c r="VJ13" i="1" s="1"/>
  <c r="ZO13" i="1"/>
  <c r="AEB13" i="1"/>
  <c r="AE14" i="1"/>
  <c r="BI14" i="1"/>
  <c r="BJ14" i="1" s="1"/>
  <c r="CN14" i="1"/>
  <c r="EK14" i="1"/>
  <c r="EM14" i="1" s="1"/>
  <c r="EZ14" i="1"/>
  <c r="FB14" i="1" s="1"/>
  <c r="FO14" i="1"/>
  <c r="FQ14" i="1" s="1"/>
  <c r="GW14" i="1"/>
  <c r="IL14" i="1"/>
  <c r="IQ14" i="1"/>
  <c r="IR14" i="1" s="1"/>
  <c r="KB14" i="1"/>
  <c r="KC14" i="1" s="1"/>
  <c r="UA14" i="1"/>
  <c r="VN14" i="1"/>
  <c r="WC14" i="1" s="1"/>
  <c r="YR14" i="1" s="1"/>
  <c r="ZI14" i="1"/>
  <c r="ZM14" i="1"/>
  <c r="ABS14" i="1"/>
  <c r="AC15" i="1"/>
  <c r="BI15" i="1"/>
  <c r="BJ15" i="1" s="1"/>
  <c r="EO15" i="1"/>
  <c r="EP15" i="1" s="1"/>
  <c r="EZ15" i="1"/>
  <c r="FB15" i="1" s="1"/>
  <c r="FU15" i="1"/>
  <c r="FV15" i="1" s="1"/>
  <c r="GF15" i="1"/>
  <c r="IC15" i="1"/>
  <c r="IX15" i="1"/>
  <c r="JU15" i="1"/>
  <c r="JV15" i="1" s="1"/>
  <c r="KH15" i="1"/>
  <c r="MO15" i="1"/>
  <c r="VH15" i="1"/>
  <c r="VJ15" i="1" s="1"/>
  <c r="ZO15" i="1"/>
  <c r="O16" i="1"/>
  <c r="AD16" i="1"/>
  <c r="CY16" i="1"/>
  <c r="FG16" i="1"/>
  <c r="GX16" i="1"/>
  <c r="HF16" i="1"/>
  <c r="HT16" i="1"/>
  <c r="HU16" i="1" s="1"/>
  <c r="JN16" i="1"/>
  <c r="JO16" i="1" s="1"/>
  <c r="KK16" i="1"/>
  <c r="KR16" i="1"/>
  <c r="KT16" i="1" s="1"/>
  <c r="OU16" i="1"/>
  <c r="OY16" i="1" s="1"/>
  <c r="OW16" i="1" s="1"/>
  <c r="PB16" i="1"/>
  <c r="QN16" i="1"/>
  <c r="QV16" i="1"/>
  <c r="UC16" i="1"/>
  <c r="VK16" i="1"/>
  <c r="XC16" i="1"/>
  <c r="AAS16" i="1"/>
  <c r="ABJ16" i="1"/>
  <c r="O17" i="1"/>
  <c r="AD17" i="1"/>
  <c r="CY17" i="1"/>
  <c r="FG17" i="1"/>
  <c r="GX17" i="1"/>
  <c r="HF17" i="1"/>
  <c r="HT17" i="1"/>
  <c r="HU17" i="1" s="1"/>
  <c r="JN17" i="1"/>
  <c r="JO17" i="1" s="1"/>
  <c r="KK17" i="1"/>
  <c r="KR17" i="1"/>
  <c r="KT17" i="1" s="1"/>
  <c r="OU17" i="1"/>
  <c r="OY17" i="1" s="1"/>
  <c r="OW17" i="1" s="1"/>
  <c r="PB17" i="1"/>
  <c r="QN17" i="1"/>
  <c r="QV17" i="1"/>
  <c r="UC17" i="1"/>
  <c r="VK17" i="1"/>
  <c r="XC17" i="1"/>
  <c r="AAS17" i="1"/>
  <c r="ABJ17" i="1"/>
  <c r="O18" i="1"/>
  <c r="R18" i="1"/>
  <c r="AE18" i="1"/>
  <c r="AY18" i="1"/>
  <c r="BF18" i="1"/>
  <c r="BK18" i="1"/>
  <c r="BS18" i="1"/>
  <c r="BT18" i="1" s="1"/>
  <c r="CB18" i="1"/>
  <c r="CR18" i="1"/>
  <c r="CT18" i="1" s="1"/>
  <c r="DH18" i="1"/>
  <c r="DJ18" i="1" s="1"/>
  <c r="DW18" i="1"/>
  <c r="DY18" i="1" s="1"/>
  <c r="EB18" i="1"/>
  <c r="EQ18" i="1"/>
  <c r="FF18" i="1"/>
  <c r="GS18" i="1"/>
  <c r="HB18" i="1"/>
  <c r="HN18" i="1"/>
  <c r="IZ18" i="1"/>
  <c r="JA18" i="1" s="1"/>
  <c r="JC18" i="1" s="1"/>
  <c r="LO18" i="1"/>
  <c r="AAX18" i="1" s="1"/>
  <c r="ADG18" i="1" s="1"/>
  <c r="LW18" i="1"/>
  <c r="ZI18" i="1"/>
  <c r="MX18" i="1"/>
  <c r="NE18" i="1"/>
  <c r="NM18" i="1"/>
  <c r="NT18" i="1"/>
  <c r="OA18" i="1"/>
  <c r="ABS18" i="1"/>
  <c r="OO18" i="1"/>
  <c r="OR18" i="1" s="1"/>
  <c r="OW18" i="1"/>
  <c r="UN18" i="1"/>
  <c r="VI18" i="1"/>
  <c r="VM18" i="1"/>
  <c r="WM18" i="1"/>
  <c r="WN18" i="1" s="1"/>
  <c r="ZB18" i="1"/>
  <c r="AC19" i="1"/>
  <c r="BI19" i="1"/>
  <c r="BJ19" i="1" s="1"/>
  <c r="BW19" i="1"/>
  <c r="CI19" i="1"/>
  <c r="CX19" i="1"/>
  <c r="DC19" i="1"/>
  <c r="DD19" i="1" s="1"/>
  <c r="DN19" i="1"/>
  <c r="DS19" i="1"/>
  <c r="DT19" i="1" s="1"/>
  <c r="AAS19" i="1"/>
  <c r="JB19" i="1"/>
  <c r="KM19" i="1"/>
  <c r="KN19" i="1" s="1"/>
  <c r="MP19" i="1"/>
  <c r="MQ19" i="1" s="1"/>
  <c r="MU19" i="1"/>
  <c r="NB19" i="1"/>
  <c r="NJ19" i="1"/>
  <c r="NQ19" i="1"/>
  <c r="NX19" i="1"/>
  <c r="OE19" i="1"/>
  <c r="OJ19" i="1"/>
  <c r="OL19" i="1"/>
  <c r="ZC19" i="1"/>
  <c r="ZG19" i="1"/>
  <c r="ZO19" i="1"/>
  <c r="ABD19" i="1"/>
  <c r="AEB19" i="1"/>
  <c r="AE20" i="1"/>
  <c r="BK20" i="1"/>
  <c r="BS20" i="1"/>
  <c r="BT20" i="1" s="1"/>
  <c r="EG20" i="1"/>
  <c r="FK20" i="1"/>
  <c r="FL20" i="1" s="1"/>
  <c r="ABW20" i="1" s="1"/>
  <c r="VA20" i="1"/>
  <c r="JL20" i="1"/>
  <c r="VF20" i="1"/>
  <c r="ZA20" i="1"/>
  <c r="ZE20" i="1"/>
  <c r="ABA20" i="1"/>
  <c r="ADM20" i="1" s="1"/>
  <c r="ADF20" i="1"/>
  <c r="BO21" i="1"/>
  <c r="BP21" i="1" s="1"/>
  <c r="CJ21" i="1"/>
  <c r="CY21" i="1"/>
  <c r="FG21" i="1"/>
  <c r="IC21" i="1"/>
  <c r="IN21" i="1"/>
  <c r="IO21" i="1" s="1"/>
  <c r="UG21" i="1"/>
  <c r="VA21" i="1"/>
  <c r="VK21" i="1"/>
  <c r="ZB21" i="1"/>
  <c r="ZN21" i="1" s="1"/>
  <c r="CF22" i="1"/>
  <c r="CV22" i="1"/>
  <c r="CW22" i="1" s="1"/>
  <c r="CY22" i="1" s="1"/>
  <c r="DH22" i="1"/>
  <c r="DJ22" i="1" s="1"/>
  <c r="GK22" i="1"/>
  <c r="HJ22" i="1"/>
  <c r="HL22" i="1" s="1"/>
  <c r="HK22" i="1" s="1"/>
  <c r="HP22" i="1"/>
  <c r="HR22" i="1" s="1"/>
  <c r="HX22" i="1"/>
  <c r="HZ22" i="1" s="1"/>
  <c r="IJ22" i="1"/>
  <c r="JP22" i="1"/>
  <c r="KG22" i="1"/>
  <c r="KH22" i="1" s="1"/>
  <c r="LG22" i="1"/>
  <c r="LQ22" i="1"/>
  <c r="AAZ22" i="1" s="1"/>
  <c r="ADI22" i="1" s="1"/>
  <c r="MO22" i="1"/>
  <c r="MZ22" i="1"/>
  <c r="NG22" i="1"/>
  <c r="NO22" i="1"/>
  <c r="NV22" i="1"/>
  <c r="OC22" i="1"/>
  <c r="OL22" i="1"/>
  <c r="PE22" i="1"/>
  <c r="VH22" i="1"/>
  <c r="VJ22" i="1" s="1"/>
  <c r="ZO22" i="1"/>
  <c r="AEB22" i="1"/>
  <c r="AE23" i="1"/>
  <c r="BK23" i="1"/>
  <c r="BS23" i="1"/>
  <c r="BT23" i="1" s="1"/>
  <c r="EG23" i="1"/>
  <c r="FK23" i="1"/>
  <c r="FL23" i="1" s="1"/>
  <c r="ABW23" i="1" s="1"/>
  <c r="VA24" i="1"/>
  <c r="VH29" i="1"/>
  <c r="KB30" i="1"/>
  <c r="KC30" i="1" s="1"/>
  <c r="JU30" i="1"/>
  <c r="JV30" i="1" s="1"/>
  <c r="IX30" i="1"/>
  <c r="IQ30" i="1"/>
  <c r="IR30" i="1" s="1"/>
  <c r="GF30" i="1"/>
  <c r="GB30" i="1"/>
  <c r="GC30" i="1" s="1"/>
  <c r="FU30" i="1"/>
  <c r="FV30" i="1" s="1"/>
  <c r="FS30" i="1"/>
  <c r="FT30" i="1" s="1"/>
  <c r="EZ30" i="1"/>
  <c r="FB30" i="1" s="1"/>
  <c r="EO30" i="1"/>
  <c r="EP30" i="1" s="1"/>
  <c r="JL30" i="1"/>
  <c r="JG30" i="1"/>
  <c r="JH30" i="1" s="1"/>
  <c r="FO30" i="1"/>
  <c r="FQ30" i="1" s="1"/>
  <c r="FK30" i="1"/>
  <c r="FL30" i="1" s="1"/>
  <c r="ABW30" i="1" s="1"/>
  <c r="FD30" i="1"/>
  <c r="FE30" i="1" s="1"/>
  <c r="GT30" i="1"/>
  <c r="ADV30" i="1"/>
  <c r="ADF30" i="1"/>
  <c r="AAT30" i="1"/>
  <c r="VI30" i="1"/>
  <c r="MO30" i="1"/>
  <c r="UA31" i="1"/>
  <c r="QU31" i="1"/>
  <c r="QM31" i="1"/>
  <c r="QK31" i="1" s="1"/>
  <c r="AE32" i="1"/>
  <c r="VK32" i="1"/>
  <c r="AD32" i="1"/>
  <c r="UA32" i="1"/>
  <c r="QU32" i="1"/>
  <c r="QM32" i="1"/>
  <c r="QK32" i="1" s="1"/>
  <c r="VK33" i="1"/>
  <c r="AE33" i="1"/>
  <c r="AD33" i="1"/>
  <c r="GT33" i="1"/>
  <c r="ADV33" i="1"/>
  <c r="ADF33" i="1"/>
  <c r="AAT33" i="1"/>
  <c r="BO34" i="1"/>
  <c r="BP34" i="1" s="1"/>
  <c r="ZB34" i="1"/>
  <c r="BS34" i="1"/>
  <c r="BT34" i="1" s="1"/>
  <c r="BK34" i="1"/>
  <c r="BI34" i="1"/>
  <c r="BJ34" i="1" s="1"/>
  <c r="UA34" i="1"/>
  <c r="QU34" i="1"/>
  <c r="QM34" i="1"/>
  <c r="QK34" i="1" s="1"/>
  <c r="AE35" i="1"/>
  <c r="VK35" i="1"/>
  <c r="AD35" i="1"/>
  <c r="UA35" i="1"/>
  <c r="QU35" i="1"/>
  <c r="QM35" i="1"/>
  <c r="QK35" i="1" s="1"/>
  <c r="AE36" i="1"/>
  <c r="VK36" i="1"/>
  <c r="AD36" i="1"/>
  <c r="VI36" i="1"/>
  <c r="MO36" i="1"/>
  <c r="ZB37" i="1"/>
  <c r="BO37" i="1"/>
  <c r="BP37" i="1" s="1"/>
  <c r="BS37" i="1"/>
  <c r="BT37" i="1" s="1"/>
  <c r="BK37" i="1"/>
  <c r="BI37" i="1"/>
  <c r="GT37" i="1"/>
  <c r="ADV37" i="1"/>
  <c r="ADF37" i="1"/>
  <c r="AAT37" i="1"/>
  <c r="O13" i="1"/>
  <c r="FW13" i="1"/>
  <c r="GK13" i="1"/>
  <c r="HN13" i="1"/>
  <c r="IZ13" i="1"/>
  <c r="JA13" i="1" s="1"/>
  <c r="JC13" i="1" s="1"/>
  <c r="JB13" i="1"/>
  <c r="KM13" i="1"/>
  <c r="KN13" i="1" s="1"/>
  <c r="LO13" i="1"/>
  <c r="AAX13" i="1" s="1"/>
  <c r="ADG13" i="1" s="1"/>
  <c r="MU13" i="1"/>
  <c r="MX13" i="1"/>
  <c r="NB13" i="1"/>
  <c r="NE13" i="1"/>
  <c r="NJ13" i="1"/>
  <c r="NM13" i="1"/>
  <c r="NQ13" i="1"/>
  <c r="NT13" i="1"/>
  <c r="NX13" i="1"/>
  <c r="OA13" i="1"/>
  <c r="OE13" i="1"/>
  <c r="OJ13" i="1"/>
  <c r="OO13" i="1"/>
  <c r="OR13" i="1" s="1"/>
  <c r="OW13" i="1"/>
  <c r="RU13" i="1"/>
  <c r="SZ13" i="1"/>
  <c r="TM13" i="1"/>
  <c r="UC13" i="1"/>
  <c r="UN13" i="1"/>
  <c r="VM13" i="1"/>
  <c r="O14" i="1"/>
  <c r="FW14" i="1"/>
  <c r="GK14" i="1"/>
  <c r="LA14" i="1" s="1"/>
  <c r="HN14" i="1"/>
  <c r="IZ14" i="1"/>
  <c r="JA14" i="1" s="1"/>
  <c r="JC14" i="1" s="1"/>
  <c r="JB14" i="1"/>
  <c r="KM14" i="1"/>
  <c r="KN14" i="1" s="1"/>
  <c r="LO14" i="1"/>
  <c r="AAX14" i="1" s="1"/>
  <c r="ADG14" i="1" s="1"/>
  <c r="MU14" i="1"/>
  <c r="MX14" i="1"/>
  <c r="NB14" i="1"/>
  <c r="NE14" i="1"/>
  <c r="NJ14" i="1"/>
  <c r="NM14" i="1"/>
  <c r="NQ14" i="1"/>
  <c r="NT14" i="1"/>
  <c r="NX14" i="1"/>
  <c r="OA14" i="1"/>
  <c r="OE14" i="1"/>
  <c r="OJ14" i="1"/>
  <c r="OO14" i="1"/>
  <c r="OR14" i="1" s="1"/>
  <c r="OW14" i="1"/>
  <c r="RU14" i="1"/>
  <c r="SZ14" i="1"/>
  <c r="TM14" i="1"/>
  <c r="UC14" i="1"/>
  <c r="UN14" i="1"/>
  <c r="VM14" i="1"/>
  <c r="O15" i="1"/>
  <c r="CG15" i="1"/>
  <c r="CR15" i="1"/>
  <c r="DL15" i="1"/>
  <c r="DM15" i="1" s="1"/>
  <c r="DS15" i="1"/>
  <c r="DW15" i="1"/>
  <c r="DY15" i="1" s="1"/>
  <c r="HN15" i="1"/>
  <c r="IZ15" i="1"/>
  <c r="JA15" i="1" s="1"/>
  <c r="KM15" i="1"/>
  <c r="KN15" i="1" s="1"/>
  <c r="LO15" i="1"/>
  <c r="AAX15" i="1" s="1"/>
  <c r="ADG15" i="1" s="1"/>
  <c r="MU15" i="1"/>
  <c r="MX15" i="1"/>
  <c r="NB15" i="1"/>
  <c r="NE15" i="1"/>
  <c r="NJ15" i="1"/>
  <c r="NM15" i="1"/>
  <c r="NQ15" i="1"/>
  <c r="NT15" i="1"/>
  <c r="NX15" i="1"/>
  <c r="OA15" i="1"/>
  <c r="OE15" i="1"/>
  <c r="OJ15" i="1"/>
  <c r="OO15" i="1"/>
  <c r="OR15" i="1" s="1"/>
  <c r="OW15" i="1"/>
  <c r="RU15" i="1"/>
  <c r="SZ15" i="1"/>
  <c r="TM15" i="1"/>
  <c r="UC15" i="1"/>
  <c r="UN15" i="1"/>
  <c r="VM15" i="1"/>
  <c r="CJ18" i="1"/>
  <c r="CY18" i="1"/>
  <c r="ZO18" i="1"/>
  <c r="O20" i="1"/>
  <c r="FW20" i="1"/>
  <c r="GK20" i="1"/>
  <c r="HJ20" i="1"/>
  <c r="HL20" i="1" s="1"/>
  <c r="HK20" i="1" s="1"/>
  <c r="HP20" i="1"/>
  <c r="HR20" i="1" s="1"/>
  <c r="HT20" i="1"/>
  <c r="HU20" i="1" s="1"/>
  <c r="HX20" i="1"/>
  <c r="HZ20" i="1" s="1"/>
  <c r="IJ20" i="1"/>
  <c r="JN20" i="1"/>
  <c r="JO20" i="1" s="1"/>
  <c r="JQ20" i="1" s="1"/>
  <c r="JP20" i="1"/>
  <c r="JW20" i="1"/>
  <c r="KG20" i="1"/>
  <c r="KH20" i="1" s="1"/>
  <c r="KK20" i="1"/>
  <c r="KR20" i="1"/>
  <c r="KT20" i="1" s="1"/>
  <c r="KW20" i="1"/>
  <c r="LG20" i="1"/>
  <c r="LQ20" i="1"/>
  <c r="AAZ20" i="1" s="1"/>
  <c r="ADI20" i="1" s="1"/>
  <c r="MZ20" i="1"/>
  <c r="NG20" i="1"/>
  <c r="NO20" i="1"/>
  <c r="NV20" i="1"/>
  <c r="OC20" i="1"/>
  <c r="OU20" i="1"/>
  <c r="OY20" i="1" s="1"/>
  <c r="OW20" i="1" s="1"/>
  <c r="PB20" i="1"/>
  <c r="PE20" i="1"/>
  <c r="QL20" i="1"/>
  <c r="QN20" i="1"/>
  <c r="QV20" i="1"/>
  <c r="RU20" i="1"/>
  <c r="SZ20" i="1"/>
  <c r="TM20" i="1"/>
  <c r="UC20" i="1"/>
  <c r="UN20" i="1"/>
  <c r="VM20" i="1"/>
  <c r="CN21" i="1"/>
  <c r="CO21" i="1" s="1"/>
  <c r="EG21" i="1"/>
  <c r="EK21" i="1"/>
  <c r="EZ21" i="1"/>
  <c r="FB21" i="1" s="1"/>
  <c r="FK21" i="1"/>
  <c r="FL21" i="1" s="1"/>
  <c r="ABW21" i="1" s="1"/>
  <c r="FO21" i="1"/>
  <c r="FQ21" i="1" s="1"/>
  <c r="JG21" i="1"/>
  <c r="JH21" i="1" s="1"/>
  <c r="YD21" i="1"/>
  <c r="XY21" i="1" s="1"/>
  <c r="ZC21" i="1"/>
  <c r="O23" i="1"/>
  <c r="CJ23" i="1"/>
  <c r="CY23" i="1"/>
  <c r="GS23" i="1"/>
  <c r="HJ23" i="1"/>
  <c r="HL23" i="1" s="1"/>
  <c r="HK23" i="1" s="1"/>
  <c r="HP23" i="1"/>
  <c r="HR23" i="1" s="1"/>
  <c r="HT23" i="1"/>
  <c r="HU23" i="1" s="1"/>
  <c r="HX23" i="1"/>
  <c r="HZ23" i="1" s="1"/>
  <c r="IJ23" i="1"/>
  <c r="JN23" i="1"/>
  <c r="JO23" i="1" s="1"/>
  <c r="KG23" i="1"/>
  <c r="KH23" i="1" s="1"/>
  <c r="KK23" i="1"/>
  <c r="KR23" i="1"/>
  <c r="KT23" i="1" s="1"/>
  <c r="LG23" i="1"/>
  <c r="LQ23" i="1"/>
  <c r="AAZ23" i="1" s="1"/>
  <c r="ADI23" i="1" s="1"/>
  <c r="MZ23" i="1"/>
  <c r="NG23" i="1"/>
  <c r="NO23" i="1"/>
  <c r="NV23" i="1"/>
  <c r="OC23" i="1"/>
  <c r="OU23" i="1"/>
  <c r="OY23" i="1" s="1"/>
  <c r="PB23" i="1"/>
  <c r="PE23" i="1"/>
  <c r="QL23" i="1"/>
  <c r="QN23" i="1"/>
  <c r="RU23" i="1"/>
  <c r="SZ23" i="1"/>
  <c r="TM23" i="1"/>
  <c r="UC23" i="1"/>
  <c r="UN23" i="1"/>
  <c r="VA23" i="1"/>
  <c r="VM23" i="1"/>
  <c r="WM23" i="1"/>
  <c r="WN23" i="1" s="1"/>
  <c r="AAS23" i="1"/>
  <c r="ABS23" i="1"/>
  <c r="AEB23" i="1"/>
  <c r="O24" i="1"/>
  <c r="AC24" i="1"/>
  <c r="AY24" i="1"/>
  <c r="BF24" i="1"/>
  <c r="BW24" i="1"/>
  <c r="CB24" i="1"/>
  <c r="CG24" i="1"/>
  <c r="CR24" i="1"/>
  <c r="CT24" i="1" s="1"/>
  <c r="DL24" i="1"/>
  <c r="DM24" i="1" s="1"/>
  <c r="DS24" i="1"/>
  <c r="DT24" i="1" s="1"/>
  <c r="DW24" i="1"/>
  <c r="DY24" i="1" s="1"/>
  <c r="EG24" i="1"/>
  <c r="EK24" i="1"/>
  <c r="EM24" i="1" s="1"/>
  <c r="FD24" i="1"/>
  <c r="FE24" i="1" s="1"/>
  <c r="FK24" i="1"/>
  <c r="FL24" i="1" s="1"/>
  <c r="ABW24" i="1" s="1"/>
  <c r="FO24" i="1"/>
  <c r="FQ24" i="1" s="1"/>
  <c r="HN24" i="1"/>
  <c r="IZ24" i="1"/>
  <c r="JA24" i="1" s="1"/>
  <c r="JG24" i="1"/>
  <c r="JH24" i="1" s="1"/>
  <c r="JL24" i="1"/>
  <c r="KM24" i="1"/>
  <c r="KN24" i="1" s="1"/>
  <c r="LO24" i="1"/>
  <c r="AAX24" i="1" s="1"/>
  <c r="ADG24" i="1" s="1"/>
  <c r="LW24" i="1"/>
  <c r="MP24" i="1"/>
  <c r="MQ24" i="1" s="1"/>
  <c r="MU24" i="1"/>
  <c r="MX24" i="1"/>
  <c r="NB24" i="1"/>
  <c r="NE24" i="1"/>
  <c r="NJ24" i="1"/>
  <c r="NM24" i="1"/>
  <c r="NQ24" i="1"/>
  <c r="NT24" i="1"/>
  <c r="NX24" i="1"/>
  <c r="OA24" i="1"/>
  <c r="OE24" i="1"/>
  <c r="OJ24" i="1"/>
  <c r="OL24" i="1"/>
  <c r="OO24" i="1"/>
  <c r="OR24" i="1" s="1"/>
  <c r="RU24" i="1"/>
  <c r="SZ24" i="1"/>
  <c r="TM24" i="1"/>
  <c r="UC24" i="1"/>
  <c r="UN24" i="1"/>
  <c r="VM24" i="1"/>
  <c r="WM24" i="1"/>
  <c r="WN24" i="1" s="1"/>
  <c r="O25" i="1"/>
  <c r="AC25" i="1"/>
  <c r="AY25" i="1"/>
  <c r="BF25" i="1"/>
  <c r="BW25" i="1"/>
  <c r="CB25" i="1"/>
  <c r="CR25" i="1"/>
  <c r="CT25" i="1" s="1"/>
  <c r="DC25" i="1"/>
  <c r="DD25" i="1" s="1"/>
  <c r="DH25" i="1"/>
  <c r="DJ25" i="1" s="1"/>
  <c r="DS25" i="1"/>
  <c r="DT25" i="1" s="1"/>
  <c r="DW25" i="1"/>
  <c r="DY25" i="1" s="1"/>
  <c r="FX25" i="1"/>
  <c r="HN25" i="1"/>
  <c r="IZ25" i="1"/>
  <c r="JA25" i="1" s="1"/>
  <c r="KM25" i="1"/>
  <c r="KN25" i="1" s="1"/>
  <c r="LO25" i="1"/>
  <c r="AAX25" i="1" s="1"/>
  <c r="ADG25" i="1" s="1"/>
  <c r="MU25" i="1"/>
  <c r="MX25" i="1"/>
  <c r="NB25" i="1"/>
  <c r="NE25" i="1"/>
  <c r="NJ25" i="1"/>
  <c r="NM25" i="1"/>
  <c r="NQ25" i="1"/>
  <c r="NT25" i="1"/>
  <c r="NX25" i="1"/>
  <c r="OA25" i="1"/>
  <c r="OE25" i="1"/>
  <c r="OJ25" i="1"/>
  <c r="OL25" i="1"/>
  <c r="OO25" i="1"/>
  <c r="OR25" i="1" s="1"/>
  <c r="RU25" i="1"/>
  <c r="SZ25" i="1"/>
  <c r="TM25" i="1"/>
  <c r="UC25" i="1"/>
  <c r="UN25" i="1"/>
  <c r="VI25" i="1"/>
  <c r="VM25" i="1"/>
  <c r="WM25" i="1"/>
  <c r="WN25" i="1" s="1"/>
  <c r="BO26" i="1"/>
  <c r="BP26" i="1" s="1"/>
  <c r="CJ26" i="1"/>
  <c r="CY26" i="1"/>
  <c r="DO26" i="1"/>
  <c r="ER26" i="1"/>
  <c r="FG26" i="1"/>
  <c r="GB26" i="1"/>
  <c r="GC26" i="1" s="1"/>
  <c r="GF26" i="1"/>
  <c r="HJ26" i="1"/>
  <c r="HL26" i="1" s="1"/>
  <c r="HK26" i="1" s="1"/>
  <c r="HP26" i="1"/>
  <c r="HR26" i="1" s="1"/>
  <c r="HT26" i="1"/>
  <c r="HU26" i="1" s="1"/>
  <c r="HX26" i="1"/>
  <c r="HZ26" i="1" s="1"/>
  <c r="IJ26" i="1"/>
  <c r="IQ26" i="1"/>
  <c r="IR26" i="1" s="1"/>
  <c r="IX26" i="1"/>
  <c r="JN26" i="1"/>
  <c r="JO26" i="1" s="1"/>
  <c r="JU26" i="1"/>
  <c r="JV26" i="1" s="1"/>
  <c r="KB26" i="1"/>
  <c r="KC26" i="1" s="1"/>
  <c r="KG26" i="1"/>
  <c r="KK26" i="1"/>
  <c r="KR26" i="1"/>
  <c r="KT26" i="1" s="1"/>
  <c r="LG26" i="1"/>
  <c r="LQ26" i="1"/>
  <c r="AAZ26" i="1" s="1"/>
  <c r="ADI26" i="1" s="1"/>
  <c r="MZ26" i="1"/>
  <c r="NG26" i="1"/>
  <c r="NO26" i="1"/>
  <c r="NV26" i="1"/>
  <c r="OC26" i="1"/>
  <c r="OU26" i="1"/>
  <c r="OY26" i="1" s="1"/>
  <c r="PB26" i="1"/>
  <c r="PE26" i="1"/>
  <c r="QL26" i="1"/>
  <c r="QV26" i="1"/>
  <c r="RU26" i="1"/>
  <c r="SZ26" i="1"/>
  <c r="TM26" i="1"/>
  <c r="UC26" i="1"/>
  <c r="UN26" i="1"/>
  <c r="VA26" i="1"/>
  <c r="VM26" i="1"/>
  <c r="WM26" i="1"/>
  <c r="WN26" i="1" s="1"/>
  <c r="ZB26" i="1"/>
  <c r="AAS26" i="1"/>
  <c r="AC27" i="1"/>
  <c r="CN27" i="1"/>
  <c r="CO27" i="1" s="1"/>
  <c r="EG27" i="1"/>
  <c r="EK27" i="1"/>
  <c r="EM27" i="1" s="1"/>
  <c r="EZ27" i="1"/>
  <c r="FK27" i="1"/>
  <c r="FL27" i="1" s="1"/>
  <c r="ABW27" i="1" s="1"/>
  <c r="FO27" i="1"/>
  <c r="FQ27" i="1" s="1"/>
  <c r="FX27" i="1"/>
  <c r="JG27" i="1"/>
  <c r="JH27" i="1" s="1"/>
  <c r="JL27" i="1"/>
  <c r="JQ27" i="1"/>
  <c r="KH27" i="1"/>
  <c r="OS27" i="1"/>
  <c r="UG27" i="1"/>
  <c r="UI27" i="1"/>
  <c r="UJ27" i="1" s="1"/>
  <c r="VC27" i="1"/>
  <c r="XX27" i="1" s="1"/>
  <c r="VE27" i="1"/>
  <c r="YC27" i="1" s="1"/>
  <c r="VG27" i="1"/>
  <c r="XZ27" i="1" s="1"/>
  <c r="VI27" i="1"/>
  <c r="VO27" i="1"/>
  <c r="ZD27" i="1"/>
  <c r="ZF27" i="1"/>
  <c r="ZP27" i="1"/>
  <c r="ABB27" i="1"/>
  <c r="ADN27" i="1" s="1"/>
  <c r="ABG27" i="1"/>
  <c r="ABU27" i="1"/>
  <c r="O28" i="1"/>
  <c r="BO28" i="1"/>
  <c r="BP28" i="1" s="1"/>
  <c r="CJ28" i="1"/>
  <c r="CY28" i="1"/>
  <c r="DO28" i="1"/>
  <c r="ER28" i="1"/>
  <c r="FG28" i="1"/>
  <c r="HJ28" i="1"/>
  <c r="HL28" i="1" s="1"/>
  <c r="HK28" i="1" s="1"/>
  <c r="HP28" i="1"/>
  <c r="HR28" i="1" s="1"/>
  <c r="HT28" i="1"/>
  <c r="HU28" i="1" s="1"/>
  <c r="HX28" i="1"/>
  <c r="HZ28" i="1" s="1"/>
  <c r="IJ28" i="1"/>
  <c r="JN28" i="1"/>
  <c r="JO28" i="1" s="1"/>
  <c r="KG28" i="1"/>
  <c r="KK28" i="1"/>
  <c r="KR28" i="1"/>
  <c r="KT28" i="1" s="1"/>
  <c r="LG28" i="1"/>
  <c r="LQ28" i="1"/>
  <c r="AAZ28" i="1" s="1"/>
  <c r="ADI28" i="1" s="1"/>
  <c r="MZ28" i="1"/>
  <c r="NG28" i="1"/>
  <c r="NO28" i="1"/>
  <c r="NV28" i="1"/>
  <c r="OC28" i="1"/>
  <c r="OU28" i="1"/>
  <c r="OY28" i="1" s="1"/>
  <c r="PB28" i="1"/>
  <c r="PE28" i="1"/>
  <c r="QV28" i="1"/>
  <c r="RY28" i="1"/>
  <c r="SX28" i="1"/>
  <c r="UA28" i="1"/>
  <c r="UO28" i="1"/>
  <c r="UQ28" i="1" s="1"/>
  <c r="VB28" i="1"/>
  <c r="VH28" i="1"/>
  <c r="VJ28" i="1" s="1"/>
  <c r="WT28" i="1"/>
  <c r="ZO28" i="1"/>
  <c r="ABS28" i="1"/>
  <c r="AEB28" i="1"/>
  <c r="BO29" i="1"/>
  <c r="BP29" i="1" s="1"/>
  <c r="CJ29" i="1"/>
  <c r="CY29" i="1"/>
  <c r="DO29" i="1"/>
  <c r="ER29" i="1"/>
  <c r="FG29" i="1"/>
  <c r="GB29" i="1"/>
  <c r="GC29" i="1" s="1"/>
  <c r="GF29" i="1"/>
  <c r="GS29" i="1"/>
  <c r="IL29" i="1"/>
  <c r="IQ29" i="1"/>
  <c r="IR29" i="1" s="1"/>
  <c r="IX29" i="1"/>
  <c r="JC29" i="1"/>
  <c r="JU29" i="1"/>
  <c r="JV29" i="1" s="1"/>
  <c r="KB29" i="1"/>
  <c r="KC29" i="1" s="1"/>
  <c r="UG29" i="1"/>
  <c r="UI29" i="1"/>
  <c r="UJ29" i="1" s="1"/>
  <c r="VA29" i="1"/>
  <c r="VO29" i="1"/>
  <c r="ZB29" i="1"/>
  <c r="ZN29" i="1" s="1"/>
  <c r="ZD29" i="1"/>
  <c r="ZF29" i="1"/>
  <c r="AAY29" i="1"/>
  <c r="ADH29" i="1" s="1"/>
  <c r="ABS29" i="1"/>
  <c r="ADF29" i="1"/>
  <c r="ADE29" i="1" s="1"/>
  <c r="AEB29" i="1"/>
  <c r="AC30" i="1"/>
  <c r="CN30" i="1"/>
  <c r="CO30" i="1" s="1"/>
  <c r="EG30" i="1"/>
  <c r="ABS30" i="1"/>
  <c r="VH36" i="1"/>
  <c r="VJ36" i="1" s="1"/>
  <c r="WM30" i="1"/>
  <c r="WN30" i="1" s="1"/>
  <c r="VM30" i="1"/>
  <c r="UN30" i="1"/>
  <c r="UC30" i="1"/>
  <c r="TM30" i="1"/>
  <c r="SZ30" i="1"/>
  <c r="RU30" i="1"/>
  <c r="PE30" i="1"/>
  <c r="PB30" i="1"/>
  <c r="OU30" i="1"/>
  <c r="OY30" i="1" s="1"/>
  <c r="OW30" i="1" s="1"/>
  <c r="OC30" i="1"/>
  <c r="NV30" i="1"/>
  <c r="NO30" i="1"/>
  <c r="NG30" i="1"/>
  <c r="MZ30" i="1"/>
  <c r="LQ30" i="1"/>
  <c r="AAZ30" i="1" s="1"/>
  <c r="ADI30" i="1" s="1"/>
  <c r="LG30" i="1"/>
  <c r="KR30" i="1"/>
  <c r="KT30" i="1" s="1"/>
  <c r="KK30" i="1"/>
  <c r="KG30" i="1"/>
  <c r="KH30" i="1" s="1"/>
  <c r="JN30" i="1"/>
  <c r="JO30" i="1" s="1"/>
  <c r="IJ30" i="1"/>
  <c r="HX30" i="1"/>
  <c r="HZ30" i="1" s="1"/>
  <c r="HT30" i="1"/>
  <c r="HU30" i="1" s="1"/>
  <c r="HP30" i="1"/>
  <c r="HR30" i="1" s="1"/>
  <c r="HJ30" i="1"/>
  <c r="HL30" i="1" s="1"/>
  <c r="HK30" i="1" s="1"/>
  <c r="WT30" i="1"/>
  <c r="VB30" i="1"/>
  <c r="UO30" i="1"/>
  <c r="UQ30" i="1" s="1"/>
  <c r="SX30" i="1"/>
  <c r="RY30" i="1"/>
  <c r="OO30" i="1"/>
  <c r="OR30" i="1" s="1"/>
  <c r="OJ30" i="1"/>
  <c r="OE30" i="1"/>
  <c r="OA30" i="1"/>
  <c r="NX30" i="1"/>
  <c r="NT30" i="1"/>
  <c r="NQ30" i="1"/>
  <c r="NM30" i="1"/>
  <c r="NJ30" i="1"/>
  <c r="NE30" i="1"/>
  <c r="NB30" i="1"/>
  <c r="MX30" i="1"/>
  <c r="MU30" i="1"/>
  <c r="LO30" i="1"/>
  <c r="AAX30" i="1" s="1"/>
  <c r="ADG30" i="1" s="1"/>
  <c r="KM30" i="1"/>
  <c r="KN30" i="1" s="1"/>
  <c r="IZ30" i="1"/>
  <c r="JA30" i="1" s="1"/>
  <c r="HN30" i="1"/>
  <c r="VH30" i="1"/>
  <c r="MP30" i="1"/>
  <c r="MQ30" i="1" s="1"/>
  <c r="LW30" i="1"/>
  <c r="UA30" i="1"/>
  <c r="QU30" i="1"/>
  <c r="QV30" i="1" s="1"/>
  <c r="QM30" i="1"/>
  <c r="QK30" i="1" s="1"/>
  <c r="QL30" i="1" s="1"/>
  <c r="BO31" i="1"/>
  <c r="BP31" i="1" s="1"/>
  <c r="ZB31" i="1"/>
  <c r="BS31" i="1"/>
  <c r="BT31" i="1" s="1"/>
  <c r="BK31" i="1"/>
  <c r="BI31" i="1"/>
  <c r="VI31" i="1"/>
  <c r="MO31" i="1"/>
  <c r="VI32" i="1"/>
  <c r="MO32" i="1"/>
  <c r="VH33" i="1"/>
  <c r="VJ33" i="1" s="1"/>
  <c r="MP33" i="1"/>
  <c r="MQ33" i="1" s="1"/>
  <c r="LW33" i="1"/>
  <c r="UA33" i="1"/>
  <c r="QU33" i="1"/>
  <c r="QM33" i="1"/>
  <c r="QK33" i="1" s="1"/>
  <c r="CY34" i="1"/>
  <c r="VI34" i="1"/>
  <c r="MO34" i="1"/>
  <c r="VI35" i="1"/>
  <c r="MO35" i="1"/>
  <c r="UA36" i="1"/>
  <c r="QU36" i="1"/>
  <c r="QM36" i="1"/>
  <c r="QK36" i="1" s="1"/>
  <c r="VK37" i="1"/>
  <c r="AE37" i="1"/>
  <c r="AD37" i="1"/>
  <c r="YL37" i="1"/>
  <c r="XW37" i="1"/>
  <c r="VH37" i="1"/>
  <c r="VJ37" i="1" s="1"/>
  <c r="MP37" i="1"/>
  <c r="MQ37" i="1" s="1"/>
  <c r="LW37" i="1"/>
  <c r="UA37" i="1"/>
  <c r="QU37" i="1"/>
  <c r="QM37" i="1"/>
  <c r="QK37" i="1" s="1"/>
  <c r="IZ23" i="1"/>
  <c r="JA23" i="1" s="1"/>
  <c r="KM23" i="1"/>
  <c r="KN23" i="1" s="1"/>
  <c r="LO23" i="1"/>
  <c r="AAX23" i="1" s="1"/>
  <c r="ADG23" i="1" s="1"/>
  <c r="LW23" i="1"/>
  <c r="MP23" i="1"/>
  <c r="MQ23" i="1" s="1"/>
  <c r="MU23" i="1"/>
  <c r="MX23" i="1"/>
  <c r="NB23" i="1"/>
  <c r="NE23" i="1"/>
  <c r="NJ23" i="1"/>
  <c r="NM23" i="1"/>
  <c r="NQ23" i="1"/>
  <c r="NT23" i="1"/>
  <c r="NX23" i="1"/>
  <c r="OA23" i="1"/>
  <c r="OE23" i="1"/>
  <c r="OJ23" i="1"/>
  <c r="OL23" i="1"/>
  <c r="OO23" i="1"/>
  <c r="OR23" i="1" s="1"/>
  <c r="OW23" i="1"/>
  <c r="RY23" i="1"/>
  <c r="SX23" i="1"/>
  <c r="UO23" i="1"/>
  <c r="UQ23" i="1" s="1"/>
  <c r="VB23" i="1"/>
  <c r="WT23" i="1"/>
  <c r="CF24" i="1"/>
  <c r="CV24" i="1"/>
  <c r="CW24" i="1" s="1"/>
  <c r="DC24" i="1"/>
  <c r="DD24" i="1" s="1"/>
  <c r="DH24" i="1"/>
  <c r="DJ24" i="1" s="1"/>
  <c r="EO24" i="1"/>
  <c r="EP24" i="1" s="1"/>
  <c r="EZ24" i="1"/>
  <c r="FB24" i="1" s="1"/>
  <c r="FS24" i="1"/>
  <c r="FT24" i="1" s="1"/>
  <c r="FU24" i="1"/>
  <c r="FV24" i="1" s="1"/>
  <c r="GB24" i="1"/>
  <c r="GC24" i="1" s="1"/>
  <c r="GF24" i="1"/>
  <c r="GW24" i="1"/>
  <c r="GX24" i="1" s="1"/>
  <c r="HJ24" i="1"/>
  <c r="HL24" i="1" s="1"/>
  <c r="HK24" i="1" s="1"/>
  <c r="HP24" i="1"/>
  <c r="HR24" i="1" s="1"/>
  <c r="HT24" i="1"/>
  <c r="HU24" i="1" s="1"/>
  <c r="HX24" i="1"/>
  <c r="HZ24" i="1" s="1"/>
  <c r="IJ24" i="1"/>
  <c r="IQ24" i="1"/>
  <c r="IR24" i="1" s="1"/>
  <c r="IX24" i="1"/>
  <c r="JN24" i="1"/>
  <c r="JO24" i="1" s="1"/>
  <c r="JU24" i="1"/>
  <c r="JV24" i="1" s="1"/>
  <c r="KG24" i="1"/>
  <c r="KK24" i="1"/>
  <c r="KR24" i="1"/>
  <c r="KT24" i="1" s="1"/>
  <c r="LG24" i="1"/>
  <c r="LQ24" i="1"/>
  <c r="AAZ24" i="1" s="1"/>
  <c r="ADI24" i="1" s="1"/>
  <c r="MZ24" i="1"/>
  <c r="NG24" i="1"/>
  <c r="NO24" i="1"/>
  <c r="NV24" i="1"/>
  <c r="OC24" i="1"/>
  <c r="OU24" i="1"/>
  <c r="OY24" i="1" s="1"/>
  <c r="OW24" i="1" s="1"/>
  <c r="PB24" i="1"/>
  <c r="PE24" i="1"/>
  <c r="QL24" i="1"/>
  <c r="QN24" i="1"/>
  <c r="QV24" i="1"/>
  <c r="RY24" i="1"/>
  <c r="SX24" i="1"/>
  <c r="UO24" i="1"/>
  <c r="UQ24" i="1" s="1"/>
  <c r="VB24" i="1"/>
  <c r="ZO24" i="1"/>
  <c r="J25" i="1"/>
  <c r="R25" i="1"/>
  <c r="CJ25" i="1"/>
  <c r="CY25" i="1"/>
  <c r="GW25" i="1"/>
  <c r="GX25" i="1" s="1"/>
  <c r="HJ25" i="1"/>
  <c r="HL25" i="1" s="1"/>
  <c r="HK25" i="1" s="1"/>
  <c r="HP25" i="1"/>
  <c r="HR25" i="1" s="1"/>
  <c r="HT25" i="1"/>
  <c r="HU25" i="1" s="1"/>
  <c r="HX25" i="1"/>
  <c r="HZ25" i="1" s="1"/>
  <c r="IJ25" i="1"/>
  <c r="JN25" i="1"/>
  <c r="JO25" i="1" s="1"/>
  <c r="KG25" i="1"/>
  <c r="KH25" i="1" s="1"/>
  <c r="KK25" i="1"/>
  <c r="KR25" i="1"/>
  <c r="KT25" i="1" s="1"/>
  <c r="LG25" i="1"/>
  <c r="LQ25" i="1"/>
  <c r="AAZ25" i="1" s="1"/>
  <c r="ADI25" i="1" s="1"/>
  <c r="MZ25" i="1"/>
  <c r="NG25" i="1"/>
  <c r="NO25" i="1"/>
  <c r="NV25" i="1"/>
  <c r="OC25" i="1"/>
  <c r="OU25" i="1"/>
  <c r="OY25" i="1" s="1"/>
  <c r="OW25" i="1" s="1"/>
  <c r="PB25" i="1"/>
  <c r="PE25" i="1"/>
  <c r="QL25" i="1"/>
  <c r="QN25" i="1"/>
  <c r="QV25" i="1"/>
  <c r="RY25" i="1"/>
  <c r="SX25" i="1"/>
  <c r="UO25" i="1"/>
  <c r="UQ25" i="1" s="1"/>
  <c r="VB25" i="1"/>
  <c r="ZO25" i="1"/>
  <c r="O26" i="1"/>
  <c r="AY26" i="1"/>
  <c r="BF26" i="1"/>
  <c r="BI26" i="1"/>
  <c r="BJ26" i="1" s="1"/>
  <c r="BK26" i="1"/>
  <c r="BS26" i="1"/>
  <c r="BT26" i="1" s="1"/>
  <c r="BW26" i="1"/>
  <c r="CB26" i="1"/>
  <c r="CR26" i="1"/>
  <c r="CT26" i="1" s="1"/>
  <c r="DC26" i="1"/>
  <c r="DD26" i="1" s="1"/>
  <c r="DH26" i="1"/>
  <c r="DJ26" i="1" s="1"/>
  <c r="DS26" i="1"/>
  <c r="DT26" i="1" s="1"/>
  <c r="DW26" i="1"/>
  <c r="DY26" i="1" s="1"/>
  <c r="EG26" i="1"/>
  <c r="EK26" i="1"/>
  <c r="EM26" i="1" s="1"/>
  <c r="EZ26" i="1"/>
  <c r="FB26" i="1" s="1"/>
  <c r="FK26" i="1"/>
  <c r="FL26" i="1" s="1"/>
  <c r="ABW26" i="1" s="1"/>
  <c r="FO26" i="1"/>
  <c r="FQ26" i="1" s="1"/>
  <c r="GS26" i="1"/>
  <c r="HN26" i="1"/>
  <c r="IZ26" i="1"/>
  <c r="JA26" i="1" s="1"/>
  <c r="JG26" i="1"/>
  <c r="JH26" i="1" s="1"/>
  <c r="KM26" i="1"/>
  <c r="KN26" i="1" s="1"/>
  <c r="LO26" i="1"/>
  <c r="AAX26" i="1" s="1"/>
  <c r="ADG26" i="1" s="1"/>
  <c r="LW26" i="1"/>
  <c r="MP26" i="1"/>
  <c r="MQ26" i="1" s="1"/>
  <c r="MU26" i="1"/>
  <c r="MX26" i="1"/>
  <c r="NB26" i="1"/>
  <c r="NE26" i="1"/>
  <c r="NJ26" i="1"/>
  <c r="NM26" i="1"/>
  <c r="NQ26" i="1"/>
  <c r="NT26" i="1"/>
  <c r="NX26" i="1"/>
  <c r="OA26" i="1"/>
  <c r="OE26" i="1"/>
  <c r="OJ26" i="1"/>
  <c r="OL26" i="1"/>
  <c r="OO26" i="1"/>
  <c r="OR26" i="1" s="1"/>
  <c r="OW26" i="1"/>
  <c r="RY26" i="1"/>
  <c r="SX26" i="1"/>
  <c r="UO26" i="1"/>
  <c r="UQ26" i="1" s="1"/>
  <c r="VB26" i="1"/>
  <c r="ZO26" i="1"/>
  <c r="CJ27" i="1"/>
  <c r="CY27" i="1"/>
  <c r="GB27" i="1"/>
  <c r="GC27" i="1" s="1"/>
  <c r="GF27" i="1"/>
  <c r="GW27" i="1"/>
  <c r="IA27" i="1"/>
  <c r="IB27" i="1" s="1"/>
  <c r="IQ27" i="1"/>
  <c r="IR27" i="1" s="1"/>
  <c r="IX27" i="1"/>
  <c r="JU27" i="1"/>
  <c r="JV27" i="1" s="1"/>
  <c r="MV27" i="1"/>
  <c r="NK27" i="1"/>
  <c r="TN27" i="1"/>
  <c r="UD27" i="1"/>
  <c r="UE27" i="1" s="1"/>
  <c r="YD27" i="1"/>
  <c r="ZC27" i="1"/>
  <c r="ZO27" i="1"/>
  <c r="J28" i="1"/>
  <c r="R28" i="1"/>
  <c r="AY28" i="1"/>
  <c r="BF28" i="1"/>
  <c r="BI28" i="1"/>
  <c r="BJ28" i="1" s="1"/>
  <c r="BK28" i="1"/>
  <c r="BS28" i="1"/>
  <c r="BT28" i="1" s="1"/>
  <c r="BW28" i="1"/>
  <c r="CB28" i="1"/>
  <c r="CR28" i="1"/>
  <c r="CT28" i="1" s="1"/>
  <c r="DC28" i="1"/>
  <c r="DD28" i="1" s="1"/>
  <c r="DH28" i="1"/>
  <c r="DJ28" i="1" s="1"/>
  <c r="DS28" i="1"/>
  <c r="DT28" i="1" s="1"/>
  <c r="DW28" i="1"/>
  <c r="DY28" i="1" s="1"/>
  <c r="GS28" i="1"/>
  <c r="HA28" i="1"/>
  <c r="HB28" i="1" s="1"/>
  <c r="HN28" i="1"/>
  <c r="IZ28" i="1"/>
  <c r="JA28" i="1" s="1"/>
  <c r="KM28" i="1"/>
  <c r="KN28" i="1" s="1"/>
  <c r="LO28" i="1"/>
  <c r="AAX28" i="1" s="1"/>
  <c r="ADG28" i="1" s="1"/>
  <c r="LW28" i="1"/>
  <c r="MU28" i="1"/>
  <c r="MX28" i="1"/>
  <c r="NB28" i="1"/>
  <c r="NE28" i="1"/>
  <c r="NJ28" i="1"/>
  <c r="NM28" i="1"/>
  <c r="NQ28" i="1"/>
  <c r="NT28" i="1"/>
  <c r="NX28" i="1"/>
  <c r="OA28" i="1"/>
  <c r="OE28" i="1"/>
  <c r="OJ28" i="1"/>
  <c r="OO28" i="1"/>
  <c r="OR28" i="1" s="1"/>
  <c r="OW28" i="1"/>
  <c r="QM28" i="1"/>
  <c r="RU28" i="1"/>
  <c r="SZ28" i="1"/>
  <c r="TM28" i="1"/>
  <c r="UC28" i="1"/>
  <c r="UN28" i="1"/>
  <c r="VM28" i="1"/>
  <c r="BI29" i="1"/>
  <c r="BJ29" i="1" s="1"/>
  <c r="BK29" i="1"/>
  <c r="BS29" i="1"/>
  <c r="BT29" i="1" s="1"/>
  <c r="CN29" i="1"/>
  <c r="CO29" i="1" s="1"/>
  <c r="EG29" i="1"/>
  <c r="EK29" i="1"/>
  <c r="EZ29" i="1"/>
  <c r="FB29" i="1" s="1"/>
  <c r="FK29" i="1"/>
  <c r="FL29" i="1" s="1"/>
  <c r="ABW29" i="1" s="1"/>
  <c r="FO29" i="1"/>
  <c r="FQ29" i="1" s="1"/>
  <c r="IK29" i="1"/>
  <c r="JG29" i="1"/>
  <c r="JH29" i="1" s="1"/>
  <c r="LW29" i="1"/>
  <c r="MP29" i="1"/>
  <c r="MQ29" i="1" s="1"/>
  <c r="OL29" i="1"/>
  <c r="OM29" i="1" s="1"/>
  <c r="PC29" i="1"/>
  <c r="TN29" i="1"/>
  <c r="UD29" i="1"/>
  <c r="UE29" i="1" s="1"/>
  <c r="YD29" i="1"/>
  <c r="XY29" i="1" s="1"/>
  <c r="ZE29" i="1"/>
  <c r="ZG29" i="1"/>
  <c r="O30" i="1"/>
  <c r="BX30" i="1"/>
  <c r="CD30" i="1"/>
  <c r="CF30" i="1"/>
  <c r="CH30" i="1"/>
  <c r="CV30" i="1"/>
  <c r="CW30" i="1" s="1"/>
  <c r="DC30" i="1"/>
  <c r="DD30" i="1" s="1"/>
  <c r="DH30" i="1"/>
  <c r="DS30" i="1"/>
  <c r="DT30" i="1" s="1"/>
  <c r="EK30" i="1"/>
  <c r="EM30" i="1" s="1"/>
  <c r="VA30" i="1"/>
  <c r="GX30" i="1"/>
  <c r="HB30" i="1"/>
  <c r="VH31" i="1"/>
  <c r="VJ31" i="1" s="1"/>
  <c r="VH32" i="1"/>
  <c r="VJ32" i="1" s="1"/>
  <c r="VA33" i="1"/>
  <c r="VH34" i="1"/>
  <c r="VJ34" i="1" s="1"/>
  <c r="VH35" i="1"/>
  <c r="VJ35" i="1" s="1"/>
  <c r="JL38" i="1"/>
  <c r="JG38" i="1"/>
  <c r="JH38" i="1" s="1"/>
  <c r="FO38" i="1"/>
  <c r="FQ38" i="1" s="1"/>
  <c r="FK38" i="1"/>
  <c r="FL38" i="1" s="1"/>
  <c r="ABW38" i="1" s="1"/>
  <c r="FD38" i="1"/>
  <c r="FE38" i="1" s="1"/>
  <c r="EK38" i="1"/>
  <c r="EM38" i="1" s="1"/>
  <c r="EG38" i="1"/>
  <c r="KB38" i="1"/>
  <c r="KC38" i="1" s="1"/>
  <c r="JU38" i="1"/>
  <c r="JV38" i="1" s="1"/>
  <c r="IX38" i="1"/>
  <c r="IQ38" i="1"/>
  <c r="IR38" i="1" s="1"/>
  <c r="GF38" i="1"/>
  <c r="GB38" i="1"/>
  <c r="GC38" i="1" s="1"/>
  <c r="FU38" i="1"/>
  <c r="FV38" i="1" s="1"/>
  <c r="FS38" i="1"/>
  <c r="FT38" i="1" s="1"/>
  <c r="EZ38" i="1"/>
  <c r="FB38" i="1" s="1"/>
  <c r="EO38" i="1"/>
  <c r="EP38" i="1" s="1"/>
  <c r="ZB38" i="1"/>
  <c r="VH38" i="1"/>
  <c r="MP38" i="1"/>
  <c r="MQ38" i="1" s="1"/>
  <c r="LW38" i="1"/>
  <c r="UA38" i="1"/>
  <c r="QU38" i="1"/>
  <c r="QM38" i="1"/>
  <c r="QK38" i="1" s="1"/>
  <c r="VK39" i="1"/>
  <c r="AE39" i="1"/>
  <c r="AD39" i="1"/>
  <c r="YL39" i="1"/>
  <c r="XW39" i="1"/>
  <c r="UA39" i="1"/>
  <c r="QU39" i="1"/>
  <c r="QM39" i="1"/>
  <c r="QK39" i="1" s="1"/>
  <c r="GT40" i="1"/>
  <c r="ADV40" i="1"/>
  <c r="ADF40" i="1"/>
  <c r="AAT40" i="1"/>
  <c r="ZI40" i="1"/>
  <c r="ABJ40" i="1"/>
  <c r="VK41" i="1"/>
  <c r="AE41" i="1"/>
  <c r="AD41" i="1"/>
  <c r="YL41" i="1"/>
  <c r="XW41" i="1"/>
  <c r="VH41" i="1"/>
  <c r="VJ41" i="1" s="1"/>
  <c r="MP41" i="1"/>
  <c r="MQ41" i="1" s="1"/>
  <c r="LW41" i="1"/>
  <c r="UA41" i="1"/>
  <c r="QU41" i="1"/>
  <c r="QM41" i="1"/>
  <c r="QK41" i="1" s="1"/>
  <c r="VK42" i="1"/>
  <c r="AE42" i="1"/>
  <c r="AD42" i="1"/>
  <c r="YL42" i="1"/>
  <c r="XW42" i="1"/>
  <c r="UA42" i="1"/>
  <c r="QU42" i="1"/>
  <c r="QM42" i="1"/>
  <c r="QK42" i="1" s="1"/>
  <c r="ZB43" i="1"/>
  <c r="BO43" i="1"/>
  <c r="BP43" i="1" s="1"/>
  <c r="BS43" i="1"/>
  <c r="BT43" i="1" s="1"/>
  <c r="BK43" i="1"/>
  <c r="BI43" i="1"/>
  <c r="BJ43" i="1" s="1"/>
  <c r="YL43" i="1"/>
  <c r="XW43" i="1"/>
  <c r="VH43" i="1"/>
  <c r="VJ43" i="1" s="1"/>
  <c r="MP43" i="1"/>
  <c r="MQ43" i="1" s="1"/>
  <c r="LW43" i="1"/>
  <c r="UA43" i="1"/>
  <c r="QU43" i="1"/>
  <c r="QM43" i="1"/>
  <c r="QK43" i="1" s="1"/>
  <c r="ADV44" i="1"/>
  <c r="ADF44" i="1"/>
  <c r="VK44" i="1"/>
  <c r="AE44" i="1"/>
  <c r="AD44" i="1"/>
  <c r="ZB44" i="1"/>
  <c r="BS44" i="1"/>
  <c r="BT44" i="1" s="1"/>
  <c r="BK44" i="1"/>
  <c r="BI44" i="1"/>
  <c r="BO44" i="1"/>
  <c r="BP44" i="1" s="1"/>
  <c r="YL44" i="1"/>
  <c r="XW44" i="1"/>
  <c r="VI44" i="1"/>
  <c r="MO44" i="1"/>
  <c r="UA45" i="1"/>
  <c r="QU45" i="1"/>
  <c r="QM45" i="1"/>
  <c r="QK45" i="1" s="1"/>
  <c r="KX46" i="1"/>
  <c r="VK46" i="1"/>
  <c r="AD46" i="1"/>
  <c r="AE46" i="1"/>
  <c r="GT46" i="1"/>
  <c r="OL30" i="1"/>
  <c r="ZA30" i="1"/>
  <c r="ZO30" i="1"/>
  <c r="AEB30" i="1"/>
  <c r="AC31" i="1"/>
  <c r="AY31" i="1"/>
  <c r="BF31" i="1"/>
  <c r="BW31" i="1"/>
  <c r="CB31" i="1"/>
  <c r="CV31" i="1"/>
  <c r="DC31" i="1"/>
  <c r="DD31" i="1" s="1"/>
  <c r="DH31" i="1"/>
  <c r="DJ31" i="1" s="1"/>
  <c r="EO31" i="1"/>
  <c r="EP31" i="1" s="1"/>
  <c r="EZ31" i="1"/>
  <c r="FB31" i="1" s="1"/>
  <c r="FS31" i="1"/>
  <c r="FT31" i="1" s="1"/>
  <c r="FU31" i="1"/>
  <c r="FV31" i="1" s="1"/>
  <c r="GB31" i="1"/>
  <c r="GC31" i="1" s="1"/>
  <c r="GF31" i="1"/>
  <c r="HJ31" i="1"/>
  <c r="HL31" i="1" s="1"/>
  <c r="HK31" i="1" s="1"/>
  <c r="HP31" i="1"/>
  <c r="HR31" i="1" s="1"/>
  <c r="HT31" i="1"/>
  <c r="HU31" i="1" s="1"/>
  <c r="HX31" i="1"/>
  <c r="HZ31" i="1" s="1"/>
  <c r="IJ31" i="1"/>
  <c r="IQ31" i="1"/>
  <c r="IR31" i="1" s="1"/>
  <c r="IX31" i="1"/>
  <c r="JN31" i="1"/>
  <c r="JO31" i="1" s="1"/>
  <c r="JU31" i="1"/>
  <c r="JV31" i="1" s="1"/>
  <c r="KB31" i="1"/>
  <c r="KC31" i="1" s="1"/>
  <c r="KG31" i="1"/>
  <c r="KK31" i="1"/>
  <c r="KR31" i="1"/>
  <c r="KT31" i="1" s="1"/>
  <c r="LG31" i="1"/>
  <c r="LQ31" i="1"/>
  <c r="AAZ31" i="1" s="1"/>
  <c r="ADI31" i="1" s="1"/>
  <c r="MZ31" i="1"/>
  <c r="NG31" i="1"/>
  <c r="NO31" i="1"/>
  <c r="NV31" i="1"/>
  <c r="OC31" i="1"/>
  <c r="OU31" i="1"/>
  <c r="OY31" i="1" s="1"/>
  <c r="PB31" i="1"/>
  <c r="PE31" i="1"/>
  <c r="QL31" i="1"/>
  <c r="QN31" i="1"/>
  <c r="QV31" i="1"/>
  <c r="RU31" i="1"/>
  <c r="SZ31" i="1"/>
  <c r="TM31" i="1"/>
  <c r="UC31" i="1"/>
  <c r="UN31" i="1"/>
  <c r="VA31" i="1"/>
  <c r="VM31" i="1"/>
  <c r="WM31" i="1"/>
  <c r="WN31" i="1" s="1"/>
  <c r="AAS31" i="1"/>
  <c r="BO32" i="1"/>
  <c r="BP32" i="1" s="1"/>
  <c r="CG32" i="1"/>
  <c r="CR32" i="1"/>
  <c r="CT32" i="1" s="1"/>
  <c r="DL32" i="1"/>
  <c r="DM32" i="1" s="1"/>
  <c r="DS32" i="1"/>
  <c r="DT32" i="1" s="1"/>
  <c r="DW32" i="1"/>
  <c r="DY32" i="1" s="1"/>
  <c r="EG32" i="1"/>
  <c r="EK32" i="1"/>
  <c r="EM32" i="1" s="1"/>
  <c r="FD32" i="1"/>
  <c r="FE32" i="1" s="1"/>
  <c r="FK32" i="1"/>
  <c r="FL32" i="1" s="1"/>
  <c r="ABW32" i="1" s="1"/>
  <c r="FO32" i="1"/>
  <c r="FQ32" i="1" s="1"/>
  <c r="FU32" i="1"/>
  <c r="FV32" i="1" s="1"/>
  <c r="GB32" i="1"/>
  <c r="GC32" i="1" s="1"/>
  <c r="GF32" i="1"/>
  <c r="HJ32" i="1"/>
  <c r="HL32" i="1" s="1"/>
  <c r="HK32" i="1" s="1"/>
  <c r="HP32" i="1"/>
  <c r="HR32" i="1" s="1"/>
  <c r="HT32" i="1"/>
  <c r="HU32" i="1" s="1"/>
  <c r="HX32" i="1"/>
  <c r="HZ32" i="1" s="1"/>
  <c r="IJ32" i="1"/>
  <c r="IQ32" i="1"/>
  <c r="IR32" i="1" s="1"/>
  <c r="IX32" i="1"/>
  <c r="JN32" i="1"/>
  <c r="JO32" i="1" s="1"/>
  <c r="JU32" i="1"/>
  <c r="JV32" i="1" s="1"/>
  <c r="KB32" i="1"/>
  <c r="KC32" i="1" s="1"/>
  <c r="KG32" i="1"/>
  <c r="KK32" i="1"/>
  <c r="KR32" i="1"/>
  <c r="KT32" i="1" s="1"/>
  <c r="LG32" i="1"/>
  <c r="LQ32" i="1"/>
  <c r="AAZ32" i="1" s="1"/>
  <c r="ADI32" i="1" s="1"/>
  <c r="MZ32" i="1"/>
  <c r="NG32" i="1"/>
  <c r="NO32" i="1"/>
  <c r="NV32" i="1"/>
  <c r="OC32" i="1"/>
  <c r="OU32" i="1"/>
  <c r="OY32" i="1" s="1"/>
  <c r="PB32" i="1"/>
  <c r="PE32" i="1"/>
  <c r="QL32" i="1"/>
  <c r="QN32" i="1"/>
  <c r="QV32" i="1"/>
  <c r="RU32" i="1"/>
  <c r="SZ32" i="1"/>
  <c r="TM32" i="1"/>
  <c r="UC32" i="1"/>
  <c r="UN32" i="1"/>
  <c r="VA32" i="1"/>
  <c r="VM32" i="1"/>
  <c r="WM32" i="1"/>
  <c r="WN32" i="1" s="1"/>
  <c r="ZB32" i="1"/>
  <c r="AAS32" i="1"/>
  <c r="O33" i="1"/>
  <c r="BO33" i="1"/>
  <c r="BP33" i="1" s="1"/>
  <c r="CG33" i="1"/>
  <c r="CR33" i="1"/>
  <c r="CT33" i="1" s="1"/>
  <c r="DL33" i="1"/>
  <c r="DM33" i="1" s="1"/>
  <c r="DS33" i="1"/>
  <c r="DT33" i="1" s="1"/>
  <c r="DW33" i="1"/>
  <c r="DY33" i="1" s="1"/>
  <c r="HN33" i="1"/>
  <c r="IZ33" i="1"/>
  <c r="JA33" i="1" s="1"/>
  <c r="KM33" i="1"/>
  <c r="KN33" i="1" s="1"/>
  <c r="LO33" i="1"/>
  <c r="AAX33" i="1" s="1"/>
  <c r="ADG33" i="1" s="1"/>
  <c r="MU33" i="1"/>
  <c r="MX33" i="1"/>
  <c r="NB33" i="1"/>
  <c r="NE33" i="1"/>
  <c r="NJ33" i="1"/>
  <c r="NM33" i="1"/>
  <c r="NQ33" i="1"/>
  <c r="NT33" i="1"/>
  <c r="NX33" i="1"/>
  <c r="OA33" i="1"/>
  <c r="OE33" i="1"/>
  <c r="OJ33" i="1"/>
  <c r="OL33" i="1"/>
  <c r="OO33" i="1"/>
  <c r="OR33" i="1" s="1"/>
  <c r="RY33" i="1"/>
  <c r="SX33" i="1"/>
  <c r="UO33" i="1"/>
  <c r="UQ33" i="1" s="1"/>
  <c r="VB33" i="1"/>
  <c r="WT33" i="1"/>
  <c r="ZA33" i="1"/>
  <c r="ZO33" i="1"/>
  <c r="AEB33" i="1"/>
  <c r="AC34" i="1"/>
  <c r="EO34" i="1"/>
  <c r="EP34" i="1" s="1"/>
  <c r="EZ34" i="1"/>
  <c r="FB34" i="1" s="1"/>
  <c r="FS34" i="1"/>
  <c r="FT34" i="1" s="1"/>
  <c r="FU34" i="1"/>
  <c r="FV34" i="1" s="1"/>
  <c r="GB34" i="1"/>
  <c r="GC34" i="1" s="1"/>
  <c r="GF34" i="1"/>
  <c r="HJ34" i="1"/>
  <c r="HL34" i="1" s="1"/>
  <c r="HK34" i="1" s="1"/>
  <c r="HP34" i="1"/>
  <c r="HR34" i="1" s="1"/>
  <c r="HT34" i="1"/>
  <c r="HU34" i="1" s="1"/>
  <c r="HX34" i="1"/>
  <c r="HZ34" i="1" s="1"/>
  <c r="IJ34" i="1"/>
  <c r="IQ34" i="1"/>
  <c r="IR34" i="1" s="1"/>
  <c r="IX34" i="1"/>
  <c r="JN34" i="1"/>
  <c r="JO34" i="1" s="1"/>
  <c r="JU34" i="1"/>
  <c r="JV34" i="1" s="1"/>
  <c r="KB34" i="1"/>
  <c r="KC34" i="1" s="1"/>
  <c r="KG34" i="1"/>
  <c r="KH34" i="1" s="1"/>
  <c r="KK34" i="1"/>
  <c r="KR34" i="1"/>
  <c r="KT34" i="1" s="1"/>
  <c r="LG34" i="1"/>
  <c r="LQ34" i="1"/>
  <c r="AAZ34" i="1" s="1"/>
  <c r="ADI34" i="1" s="1"/>
  <c r="MZ34" i="1"/>
  <c r="NG34" i="1"/>
  <c r="NO34" i="1"/>
  <c r="NV34" i="1"/>
  <c r="OC34" i="1"/>
  <c r="OU34" i="1"/>
  <c r="OY34" i="1" s="1"/>
  <c r="PB34" i="1"/>
  <c r="PE34" i="1"/>
  <c r="QL34" i="1"/>
  <c r="QN34" i="1"/>
  <c r="QV34" i="1"/>
  <c r="RU34" i="1"/>
  <c r="SZ34" i="1"/>
  <c r="TM34" i="1"/>
  <c r="UC34" i="1"/>
  <c r="UN34" i="1"/>
  <c r="VA34" i="1"/>
  <c r="VM34" i="1"/>
  <c r="WM34" i="1"/>
  <c r="WN34" i="1" s="1"/>
  <c r="AAS34" i="1"/>
  <c r="O35" i="1"/>
  <c r="BO35" i="1"/>
  <c r="BP35" i="1" s="1"/>
  <c r="CJ35" i="1"/>
  <c r="CY35" i="1"/>
  <c r="DO35" i="1"/>
  <c r="ER35" i="1"/>
  <c r="FG35" i="1"/>
  <c r="HJ35" i="1"/>
  <c r="HL35" i="1" s="1"/>
  <c r="HK35" i="1" s="1"/>
  <c r="HP35" i="1"/>
  <c r="HR35" i="1" s="1"/>
  <c r="HT35" i="1"/>
  <c r="HU35" i="1" s="1"/>
  <c r="HX35" i="1"/>
  <c r="HZ35" i="1" s="1"/>
  <c r="IJ35" i="1"/>
  <c r="JN35" i="1"/>
  <c r="JO35" i="1" s="1"/>
  <c r="KG35" i="1"/>
  <c r="KK35" i="1"/>
  <c r="KR35" i="1"/>
  <c r="KT35" i="1" s="1"/>
  <c r="LG35" i="1"/>
  <c r="LQ35" i="1"/>
  <c r="AAZ35" i="1" s="1"/>
  <c r="ADI35" i="1" s="1"/>
  <c r="MZ35" i="1"/>
  <c r="NG35" i="1"/>
  <c r="NO35" i="1"/>
  <c r="NV35" i="1"/>
  <c r="OC35" i="1"/>
  <c r="OU35" i="1"/>
  <c r="OY35" i="1" s="1"/>
  <c r="PB35" i="1"/>
  <c r="PE35" i="1"/>
  <c r="QL35" i="1"/>
  <c r="QN35" i="1"/>
  <c r="QV35" i="1"/>
  <c r="RU35" i="1"/>
  <c r="SZ35" i="1"/>
  <c r="TM35" i="1"/>
  <c r="UC35" i="1"/>
  <c r="UN35" i="1"/>
  <c r="VA35" i="1"/>
  <c r="VM35" i="1"/>
  <c r="WM35" i="1"/>
  <c r="WN35" i="1" s="1"/>
  <c r="ZB35" i="1"/>
  <c r="AAS35" i="1"/>
  <c r="O36" i="1"/>
  <c r="BO36" i="1"/>
  <c r="BP36" i="1" s="1"/>
  <c r="CF36" i="1"/>
  <c r="CV36" i="1"/>
  <c r="CW36" i="1" s="1"/>
  <c r="DC36" i="1"/>
  <c r="DD36" i="1" s="1"/>
  <c r="DH36" i="1"/>
  <c r="DJ36" i="1" s="1"/>
  <c r="HJ36" i="1"/>
  <c r="HL36" i="1" s="1"/>
  <c r="HK36" i="1" s="1"/>
  <c r="HP36" i="1"/>
  <c r="HR36" i="1" s="1"/>
  <c r="HT36" i="1"/>
  <c r="HU36" i="1" s="1"/>
  <c r="HX36" i="1"/>
  <c r="HZ36" i="1" s="1"/>
  <c r="IJ36" i="1"/>
  <c r="JN36" i="1"/>
  <c r="JO36" i="1" s="1"/>
  <c r="KG36" i="1"/>
  <c r="KK36" i="1"/>
  <c r="KR36" i="1"/>
  <c r="KT36" i="1" s="1"/>
  <c r="LG36" i="1"/>
  <c r="LQ36" i="1"/>
  <c r="AAZ36" i="1" s="1"/>
  <c r="ADI36" i="1" s="1"/>
  <c r="MZ36" i="1"/>
  <c r="NG36" i="1"/>
  <c r="NO36" i="1"/>
  <c r="NV36" i="1"/>
  <c r="OC36" i="1"/>
  <c r="OU36" i="1"/>
  <c r="OY36" i="1" s="1"/>
  <c r="PB36" i="1"/>
  <c r="PE36" i="1"/>
  <c r="QL36" i="1"/>
  <c r="QN36" i="1"/>
  <c r="QV36" i="1"/>
  <c r="RU36" i="1"/>
  <c r="SZ36" i="1"/>
  <c r="TM36" i="1"/>
  <c r="UC36" i="1"/>
  <c r="UN36" i="1"/>
  <c r="VA36" i="1"/>
  <c r="VM36" i="1"/>
  <c r="WM36" i="1"/>
  <c r="WN36" i="1" s="1"/>
  <c r="ZB36" i="1"/>
  <c r="AAS36" i="1"/>
  <c r="O37" i="1"/>
  <c r="AY37" i="1"/>
  <c r="BF37" i="1"/>
  <c r="BW37" i="1"/>
  <c r="CB37" i="1"/>
  <c r="CG37" i="1"/>
  <c r="CR37" i="1"/>
  <c r="CT37" i="1" s="1"/>
  <c r="DL37" i="1"/>
  <c r="DM37" i="1" s="1"/>
  <c r="DS37" i="1"/>
  <c r="DT37" i="1" s="1"/>
  <c r="DW37" i="1"/>
  <c r="DY37" i="1" s="1"/>
  <c r="HN37" i="1"/>
  <c r="IZ37" i="1"/>
  <c r="JA37" i="1" s="1"/>
  <c r="KM37" i="1"/>
  <c r="KN37" i="1" s="1"/>
  <c r="LO37" i="1"/>
  <c r="AAX37" i="1" s="1"/>
  <c r="ADG37" i="1" s="1"/>
  <c r="MU37" i="1"/>
  <c r="MX37" i="1"/>
  <c r="NB37" i="1"/>
  <c r="NE37" i="1"/>
  <c r="NJ37" i="1"/>
  <c r="NM37" i="1"/>
  <c r="NQ37" i="1"/>
  <c r="NT37" i="1"/>
  <c r="NX37" i="1"/>
  <c r="OA37" i="1"/>
  <c r="OE37" i="1"/>
  <c r="OJ37" i="1"/>
  <c r="OL37" i="1"/>
  <c r="OO37" i="1"/>
  <c r="OR37" i="1" s="1"/>
  <c r="RY37" i="1"/>
  <c r="SX37" i="1"/>
  <c r="UO37" i="1"/>
  <c r="UQ37" i="1" s="1"/>
  <c r="VB37" i="1"/>
  <c r="WT37" i="1"/>
  <c r="ZA37" i="1"/>
  <c r="ZO37" i="1"/>
  <c r="AEB37" i="1"/>
  <c r="AC38" i="1"/>
  <c r="BO38" i="1"/>
  <c r="BP38" i="1" s="1"/>
  <c r="VH44" i="1"/>
  <c r="VJ44" i="1" s="1"/>
  <c r="WT38" i="1"/>
  <c r="VB38" i="1"/>
  <c r="UO38" i="1"/>
  <c r="UQ38" i="1" s="1"/>
  <c r="SX38" i="1"/>
  <c r="RY38" i="1"/>
  <c r="OO38" i="1"/>
  <c r="OR38" i="1" s="1"/>
  <c r="OL38" i="1"/>
  <c r="OJ38" i="1"/>
  <c r="OE38" i="1"/>
  <c r="OA38" i="1"/>
  <c r="NX38" i="1"/>
  <c r="NT38" i="1"/>
  <c r="NQ38" i="1"/>
  <c r="NM38" i="1"/>
  <c r="NJ38" i="1"/>
  <c r="NE38" i="1"/>
  <c r="NB38" i="1"/>
  <c r="MX38" i="1"/>
  <c r="MU38" i="1"/>
  <c r="LO38" i="1"/>
  <c r="AAX38" i="1" s="1"/>
  <c r="ADG38" i="1" s="1"/>
  <c r="KM38" i="1"/>
  <c r="KN38" i="1" s="1"/>
  <c r="IZ38" i="1"/>
  <c r="JA38" i="1" s="1"/>
  <c r="HN38" i="1"/>
  <c r="WM38" i="1"/>
  <c r="WN38" i="1" s="1"/>
  <c r="VM38" i="1"/>
  <c r="UN38" i="1"/>
  <c r="UC38" i="1"/>
  <c r="TM38" i="1"/>
  <c r="SZ38" i="1"/>
  <c r="RU38" i="1"/>
  <c r="QV38" i="1"/>
  <c r="QN38" i="1"/>
  <c r="QL38" i="1"/>
  <c r="PE38" i="1"/>
  <c r="PB38" i="1"/>
  <c r="OU38" i="1"/>
  <c r="OY38" i="1" s="1"/>
  <c r="OW38" i="1" s="1"/>
  <c r="OC38" i="1"/>
  <c r="NV38" i="1"/>
  <c r="NO38" i="1"/>
  <c r="NG38" i="1"/>
  <c r="MZ38" i="1"/>
  <c r="LQ38" i="1"/>
  <c r="AAZ38" i="1" s="1"/>
  <c r="ADI38" i="1" s="1"/>
  <c r="LG38" i="1"/>
  <c r="KR38" i="1"/>
  <c r="KT38" i="1" s="1"/>
  <c r="KK38" i="1"/>
  <c r="KG38" i="1"/>
  <c r="JN38" i="1"/>
  <c r="JO38" i="1" s="1"/>
  <c r="IJ38" i="1"/>
  <c r="HX38" i="1"/>
  <c r="HZ38" i="1" s="1"/>
  <c r="HT38" i="1"/>
  <c r="HU38" i="1" s="1"/>
  <c r="HP38" i="1"/>
  <c r="HR38" i="1" s="1"/>
  <c r="HJ38" i="1"/>
  <c r="HL38" i="1" s="1"/>
  <c r="HK38" i="1" s="1"/>
  <c r="DH38" i="1"/>
  <c r="DJ38" i="1" s="1"/>
  <c r="DC38" i="1"/>
  <c r="DD38" i="1" s="1"/>
  <c r="CV38" i="1"/>
  <c r="CW38" i="1" s="1"/>
  <c r="GT38" i="1"/>
  <c r="ZB39" i="1"/>
  <c r="BO39" i="1"/>
  <c r="BP39" i="1" s="1"/>
  <c r="BS39" i="1"/>
  <c r="BT39" i="1" s="1"/>
  <c r="BK39" i="1"/>
  <c r="BI39" i="1"/>
  <c r="GT39" i="1"/>
  <c r="ADV39" i="1"/>
  <c r="ADF39" i="1"/>
  <c r="AAT39" i="1"/>
  <c r="VI39" i="1"/>
  <c r="MO39" i="1"/>
  <c r="BO40" i="1"/>
  <c r="BP40" i="1" s="1"/>
  <c r="ZB40" i="1"/>
  <c r="BS40" i="1"/>
  <c r="BT40" i="1" s="1"/>
  <c r="BK40" i="1"/>
  <c r="BI40" i="1"/>
  <c r="VH40" i="1"/>
  <c r="MP40" i="1"/>
  <c r="MQ40" i="1" s="1"/>
  <c r="LW40" i="1"/>
  <c r="GT41" i="1"/>
  <c r="ADV41" i="1"/>
  <c r="ADF41" i="1"/>
  <c r="AAT41" i="1"/>
  <c r="GT42" i="1"/>
  <c r="ADV42" i="1"/>
  <c r="ADF42" i="1"/>
  <c r="AAT42" i="1"/>
  <c r="VI42" i="1"/>
  <c r="MO42" i="1"/>
  <c r="ADV43" i="1"/>
  <c r="ADF43" i="1"/>
  <c r="UA44" i="1"/>
  <c r="QU44" i="1"/>
  <c r="QM44" i="1"/>
  <c r="QK44" i="1" s="1"/>
  <c r="ADV45" i="1"/>
  <c r="ADF45" i="1"/>
  <c r="VK45" i="1"/>
  <c r="AE45" i="1"/>
  <c r="AD45" i="1"/>
  <c r="ZB45" i="1"/>
  <c r="BS45" i="1"/>
  <c r="BT45" i="1" s="1"/>
  <c r="BK45" i="1"/>
  <c r="BI45" i="1"/>
  <c r="BO45" i="1"/>
  <c r="BP45" i="1" s="1"/>
  <c r="YL45" i="1"/>
  <c r="XW45" i="1"/>
  <c r="VI45" i="1"/>
  <c r="MO45" i="1"/>
  <c r="O31" i="1"/>
  <c r="CG31" i="1"/>
  <c r="CR31" i="1"/>
  <c r="CT31" i="1" s="1"/>
  <c r="DL31" i="1"/>
  <c r="DM31" i="1" s="1"/>
  <c r="DS31" i="1"/>
  <c r="DT31" i="1" s="1"/>
  <c r="DW31" i="1"/>
  <c r="DY31" i="1" s="1"/>
  <c r="EG31" i="1"/>
  <c r="EK31" i="1"/>
  <c r="EM31" i="1" s="1"/>
  <c r="FD31" i="1"/>
  <c r="FE31" i="1" s="1"/>
  <c r="FK31" i="1"/>
  <c r="FL31" i="1" s="1"/>
  <c r="ABW31" i="1" s="1"/>
  <c r="FO31" i="1"/>
  <c r="FQ31" i="1" s="1"/>
  <c r="GS31" i="1"/>
  <c r="HN31" i="1"/>
  <c r="IZ31" i="1"/>
  <c r="JA31" i="1" s="1"/>
  <c r="JG31" i="1"/>
  <c r="JH31" i="1" s="1"/>
  <c r="KM31" i="1"/>
  <c r="KN31" i="1" s="1"/>
  <c r="LO31" i="1"/>
  <c r="AAX31" i="1" s="1"/>
  <c r="ADG31" i="1" s="1"/>
  <c r="LW31" i="1"/>
  <c r="MP31" i="1"/>
  <c r="MQ31" i="1" s="1"/>
  <c r="MU31" i="1"/>
  <c r="MX31" i="1"/>
  <c r="NB31" i="1"/>
  <c r="NE31" i="1"/>
  <c r="NJ31" i="1"/>
  <c r="NM31" i="1"/>
  <c r="NQ31" i="1"/>
  <c r="NT31" i="1"/>
  <c r="NX31" i="1"/>
  <c r="OA31" i="1"/>
  <c r="OE31" i="1"/>
  <c r="OJ31" i="1"/>
  <c r="OL31" i="1"/>
  <c r="OO31" i="1"/>
  <c r="OR31" i="1" s="1"/>
  <c r="OW31" i="1"/>
  <c r="RY31" i="1"/>
  <c r="SX31" i="1"/>
  <c r="UO31" i="1"/>
  <c r="UQ31" i="1" s="1"/>
  <c r="VB31" i="1"/>
  <c r="ZO31" i="1"/>
  <c r="O32" i="1"/>
  <c r="AY32" i="1"/>
  <c r="BF32" i="1"/>
  <c r="BI32" i="1"/>
  <c r="BJ32" i="1" s="1"/>
  <c r="BK32" i="1"/>
  <c r="BS32" i="1"/>
  <c r="BT32" i="1" s="1"/>
  <c r="BW32" i="1"/>
  <c r="CB32" i="1"/>
  <c r="CV32" i="1"/>
  <c r="DC32" i="1"/>
  <c r="DD32" i="1" s="1"/>
  <c r="DH32" i="1"/>
  <c r="DJ32" i="1" s="1"/>
  <c r="EO32" i="1"/>
  <c r="EP32" i="1" s="1"/>
  <c r="EZ32" i="1"/>
  <c r="FB32" i="1" s="1"/>
  <c r="GS32" i="1"/>
  <c r="HN32" i="1"/>
  <c r="IZ32" i="1"/>
  <c r="JA32" i="1" s="1"/>
  <c r="JG32" i="1"/>
  <c r="JH32" i="1" s="1"/>
  <c r="KM32" i="1"/>
  <c r="KN32" i="1" s="1"/>
  <c r="LO32" i="1"/>
  <c r="AAX32" i="1" s="1"/>
  <c r="ADG32" i="1" s="1"/>
  <c r="LW32" i="1"/>
  <c r="MP32" i="1"/>
  <c r="MQ32" i="1" s="1"/>
  <c r="MU32" i="1"/>
  <c r="MX32" i="1"/>
  <c r="NB32" i="1"/>
  <c r="NE32" i="1"/>
  <c r="NJ32" i="1"/>
  <c r="NM32" i="1"/>
  <c r="NQ32" i="1"/>
  <c r="NT32" i="1"/>
  <c r="NX32" i="1"/>
  <c r="OA32" i="1"/>
  <c r="OE32" i="1"/>
  <c r="OJ32" i="1"/>
  <c r="OL32" i="1"/>
  <c r="OO32" i="1"/>
  <c r="OR32" i="1" s="1"/>
  <c r="OW32" i="1"/>
  <c r="RY32" i="1"/>
  <c r="SX32" i="1"/>
  <c r="UO32" i="1"/>
  <c r="UQ32" i="1" s="1"/>
  <c r="VB32" i="1"/>
  <c r="ZO32" i="1"/>
  <c r="J33" i="1"/>
  <c r="R33" i="1"/>
  <c r="AY33" i="1"/>
  <c r="BF33" i="1"/>
  <c r="BI33" i="1"/>
  <c r="BJ33" i="1" s="1"/>
  <c r="BK33" i="1"/>
  <c r="BS33" i="1"/>
  <c r="BT33" i="1" s="1"/>
  <c r="BW33" i="1"/>
  <c r="CB33" i="1"/>
  <c r="CV33" i="1"/>
  <c r="DC33" i="1"/>
  <c r="DD33" i="1" s="1"/>
  <c r="DH33" i="1"/>
  <c r="DJ33" i="1" s="1"/>
  <c r="HJ33" i="1"/>
  <c r="HL33" i="1" s="1"/>
  <c r="HK33" i="1" s="1"/>
  <c r="HP33" i="1"/>
  <c r="HR33" i="1" s="1"/>
  <c r="HT33" i="1"/>
  <c r="HU33" i="1" s="1"/>
  <c r="HX33" i="1"/>
  <c r="HZ33" i="1" s="1"/>
  <c r="IJ33" i="1"/>
  <c r="JN33" i="1"/>
  <c r="JO33" i="1" s="1"/>
  <c r="KG33" i="1"/>
  <c r="KK33" i="1"/>
  <c r="KR33" i="1"/>
  <c r="KT33" i="1" s="1"/>
  <c r="LG33" i="1"/>
  <c r="LQ33" i="1"/>
  <c r="AAZ33" i="1" s="1"/>
  <c r="ADI33" i="1" s="1"/>
  <c r="MO33" i="1"/>
  <c r="MZ33" i="1"/>
  <c r="NG33" i="1"/>
  <c r="NO33" i="1"/>
  <c r="NV33" i="1"/>
  <c r="OC33" i="1"/>
  <c r="OU33" i="1"/>
  <c r="OY33" i="1" s="1"/>
  <c r="OW33" i="1" s="1"/>
  <c r="PB33" i="1"/>
  <c r="PE33" i="1"/>
  <c r="QL33" i="1"/>
  <c r="QN33" i="1"/>
  <c r="QV33" i="1"/>
  <c r="RU33" i="1"/>
  <c r="SZ33" i="1"/>
  <c r="TM33" i="1"/>
  <c r="UC33" i="1"/>
  <c r="UN33" i="1"/>
  <c r="VM33" i="1"/>
  <c r="O34" i="1"/>
  <c r="BX34" i="1"/>
  <c r="CG34" i="1"/>
  <c r="CN34" i="1"/>
  <c r="CO34" i="1" s="1"/>
  <c r="CR34" i="1"/>
  <c r="CT34" i="1" s="1"/>
  <c r="DL34" i="1"/>
  <c r="DM34" i="1" s="1"/>
  <c r="DS34" i="1"/>
  <c r="DT34" i="1" s="1"/>
  <c r="DW34" i="1"/>
  <c r="DY34" i="1" s="1"/>
  <c r="EG34" i="1"/>
  <c r="EK34" i="1"/>
  <c r="EM34" i="1" s="1"/>
  <c r="FD34" i="1"/>
  <c r="FE34" i="1" s="1"/>
  <c r="FK34" i="1"/>
  <c r="FL34" i="1" s="1"/>
  <c r="ABW34" i="1" s="1"/>
  <c r="FO34" i="1"/>
  <c r="FQ34" i="1" s="1"/>
  <c r="GS34" i="1"/>
  <c r="HN34" i="1"/>
  <c r="IZ34" i="1"/>
  <c r="JA34" i="1" s="1"/>
  <c r="JG34" i="1"/>
  <c r="JH34" i="1" s="1"/>
  <c r="KM34" i="1"/>
  <c r="KN34" i="1" s="1"/>
  <c r="LO34" i="1"/>
  <c r="AAX34" i="1" s="1"/>
  <c r="ADG34" i="1" s="1"/>
  <c r="LW34" i="1"/>
  <c r="MP34" i="1"/>
  <c r="MQ34" i="1" s="1"/>
  <c r="MU34" i="1"/>
  <c r="MX34" i="1"/>
  <c r="NB34" i="1"/>
  <c r="NE34" i="1"/>
  <c r="NJ34" i="1"/>
  <c r="NM34" i="1"/>
  <c r="NQ34" i="1"/>
  <c r="NT34" i="1"/>
  <c r="NX34" i="1"/>
  <c r="OA34" i="1"/>
  <c r="OE34" i="1"/>
  <c r="OJ34" i="1"/>
  <c r="OL34" i="1"/>
  <c r="OO34" i="1"/>
  <c r="OR34" i="1" s="1"/>
  <c r="OW34" i="1"/>
  <c r="RY34" i="1"/>
  <c r="SX34" i="1"/>
  <c r="UO34" i="1"/>
  <c r="UQ34" i="1" s="1"/>
  <c r="VB34" i="1"/>
  <c r="ZO34" i="1"/>
  <c r="J35" i="1"/>
  <c r="R35" i="1"/>
  <c r="AY35" i="1"/>
  <c r="BF35" i="1"/>
  <c r="BI35" i="1"/>
  <c r="BJ35" i="1" s="1"/>
  <c r="BK35" i="1"/>
  <c r="BS35" i="1"/>
  <c r="BT35" i="1" s="1"/>
  <c r="BW35" i="1"/>
  <c r="CB35" i="1"/>
  <c r="CR35" i="1"/>
  <c r="CT35" i="1" s="1"/>
  <c r="DC35" i="1"/>
  <c r="DD35" i="1" s="1"/>
  <c r="DH35" i="1"/>
  <c r="DJ35" i="1" s="1"/>
  <c r="DS35" i="1"/>
  <c r="DT35" i="1" s="1"/>
  <c r="DW35" i="1"/>
  <c r="DY35" i="1" s="1"/>
  <c r="GS35" i="1"/>
  <c r="HN35" i="1"/>
  <c r="IZ35" i="1"/>
  <c r="JA35" i="1" s="1"/>
  <c r="KM35" i="1"/>
  <c r="KN35" i="1" s="1"/>
  <c r="LO35" i="1"/>
  <c r="AAX35" i="1" s="1"/>
  <c r="ADG35" i="1" s="1"/>
  <c r="LW35" i="1"/>
  <c r="MP35" i="1"/>
  <c r="MQ35" i="1" s="1"/>
  <c r="MU35" i="1"/>
  <c r="MX35" i="1"/>
  <c r="NB35" i="1"/>
  <c r="NE35" i="1"/>
  <c r="NJ35" i="1"/>
  <c r="NM35" i="1"/>
  <c r="NQ35" i="1"/>
  <c r="NT35" i="1"/>
  <c r="NX35" i="1"/>
  <c r="OA35" i="1"/>
  <c r="OE35" i="1"/>
  <c r="OJ35" i="1"/>
  <c r="OL35" i="1"/>
  <c r="OO35" i="1"/>
  <c r="OR35" i="1" s="1"/>
  <c r="OW35" i="1"/>
  <c r="RY35" i="1"/>
  <c r="SX35" i="1"/>
  <c r="UO35" i="1"/>
  <c r="UQ35" i="1" s="1"/>
  <c r="VB35" i="1"/>
  <c r="ZO35" i="1"/>
  <c r="J36" i="1"/>
  <c r="R36" i="1"/>
  <c r="AY36" i="1"/>
  <c r="BF36" i="1"/>
  <c r="BI36" i="1"/>
  <c r="BJ36" i="1" s="1"/>
  <c r="BK36" i="1"/>
  <c r="BS36" i="1"/>
  <c r="BT36" i="1" s="1"/>
  <c r="BW36" i="1"/>
  <c r="CB36" i="1"/>
  <c r="CG36" i="1"/>
  <c r="CR36" i="1"/>
  <c r="CT36" i="1" s="1"/>
  <c r="DL36" i="1"/>
  <c r="DM36" i="1" s="1"/>
  <c r="DS36" i="1"/>
  <c r="DT36" i="1" s="1"/>
  <c r="DW36" i="1"/>
  <c r="DY36" i="1" s="1"/>
  <c r="GS36" i="1"/>
  <c r="HN36" i="1"/>
  <c r="IZ36" i="1"/>
  <c r="JA36" i="1" s="1"/>
  <c r="KM36" i="1"/>
  <c r="KN36" i="1" s="1"/>
  <c r="LO36" i="1"/>
  <c r="AAX36" i="1" s="1"/>
  <c r="ADG36" i="1" s="1"/>
  <c r="LW36" i="1"/>
  <c r="MP36" i="1"/>
  <c r="MQ36" i="1" s="1"/>
  <c r="MU36" i="1"/>
  <c r="MX36" i="1"/>
  <c r="NB36" i="1"/>
  <c r="NE36" i="1"/>
  <c r="NJ36" i="1"/>
  <c r="NM36" i="1"/>
  <c r="NQ36" i="1"/>
  <c r="NT36" i="1"/>
  <c r="NX36" i="1"/>
  <c r="OA36" i="1"/>
  <c r="OE36" i="1"/>
  <c r="OJ36" i="1"/>
  <c r="OL36" i="1"/>
  <c r="OO36" i="1"/>
  <c r="OR36" i="1" s="1"/>
  <c r="OW36" i="1"/>
  <c r="RY36" i="1"/>
  <c r="SX36" i="1"/>
  <c r="UO36" i="1"/>
  <c r="UQ36" i="1" s="1"/>
  <c r="VB36" i="1"/>
  <c r="ZO36" i="1"/>
  <c r="J37" i="1"/>
  <c r="R37" i="1"/>
  <c r="CF37" i="1"/>
  <c r="CV37" i="1"/>
  <c r="CW37" i="1" s="1"/>
  <c r="DC37" i="1"/>
  <c r="DD37" i="1" s="1"/>
  <c r="DH37" i="1"/>
  <c r="DJ37" i="1" s="1"/>
  <c r="HJ37" i="1"/>
  <c r="HL37" i="1" s="1"/>
  <c r="HK37" i="1" s="1"/>
  <c r="HP37" i="1"/>
  <c r="HR37" i="1" s="1"/>
  <c r="HT37" i="1"/>
  <c r="HU37" i="1" s="1"/>
  <c r="HX37" i="1"/>
  <c r="HZ37" i="1" s="1"/>
  <c r="IJ37" i="1"/>
  <c r="JN37" i="1"/>
  <c r="JO37" i="1" s="1"/>
  <c r="KG37" i="1"/>
  <c r="KH37" i="1" s="1"/>
  <c r="KK37" i="1"/>
  <c r="KR37" i="1"/>
  <c r="KT37" i="1" s="1"/>
  <c r="LG37" i="1"/>
  <c r="LQ37" i="1"/>
  <c r="AAZ37" i="1" s="1"/>
  <c r="ADI37" i="1" s="1"/>
  <c r="MO37" i="1"/>
  <c r="MZ37" i="1"/>
  <c r="NG37" i="1"/>
  <c r="NO37" i="1"/>
  <c r="NV37" i="1"/>
  <c r="OC37" i="1"/>
  <c r="OU37" i="1"/>
  <c r="OY37" i="1" s="1"/>
  <c r="OW37" i="1" s="1"/>
  <c r="PB37" i="1"/>
  <c r="PE37" i="1"/>
  <c r="QL37" i="1"/>
  <c r="QN37" i="1"/>
  <c r="QV37" i="1"/>
  <c r="RU37" i="1"/>
  <c r="SZ37" i="1"/>
  <c r="TM37" i="1"/>
  <c r="UC37" i="1"/>
  <c r="UN37" i="1"/>
  <c r="VM37" i="1"/>
  <c r="O38" i="1"/>
  <c r="AY38" i="1"/>
  <c r="BF38" i="1"/>
  <c r="BI38" i="1"/>
  <c r="BJ38" i="1" s="1"/>
  <c r="BK38" i="1"/>
  <c r="BS38" i="1"/>
  <c r="BT38" i="1" s="1"/>
  <c r="BW38" i="1"/>
  <c r="CB38" i="1"/>
  <c r="CG38" i="1"/>
  <c r="CR38" i="1"/>
  <c r="CT38" i="1" s="1"/>
  <c r="DS38" i="1"/>
  <c r="DT38" i="1" s="1"/>
  <c r="AAS38" i="1"/>
  <c r="HF38" i="1"/>
  <c r="VI38" i="1"/>
  <c r="ABS38" i="1"/>
  <c r="VH39" i="1"/>
  <c r="VJ39" i="1" s="1"/>
  <c r="VA40" i="1"/>
  <c r="VH42" i="1"/>
  <c r="VJ42" i="1" s="1"/>
  <c r="VH45" i="1"/>
  <c r="VJ45" i="1" s="1"/>
  <c r="MP46" i="1"/>
  <c r="MQ46" i="1" s="1"/>
  <c r="LW46" i="1"/>
  <c r="VH46" i="1"/>
  <c r="ZB47" i="1"/>
  <c r="BO47" i="1"/>
  <c r="BP47" i="1" s="1"/>
  <c r="BS47" i="1"/>
  <c r="BT47" i="1" s="1"/>
  <c r="BK47" i="1"/>
  <c r="BI47" i="1"/>
  <c r="BJ47" i="1" s="1"/>
  <c r="SB47" i="1"/>
  <c r="UZ47" i="1"/>
  <c r="SI47" i="1"/>
  <c r="IL47" i="1"/>
  <c r="ZM47" i="1"/>
  <c r="IK47" i="1"/>
  <c r="JC47" i="1"/>
  <c r="ABU47" i="1"/>
  <c r="ZP47" i="1"/>
  <c r="OX47" i="1"/>
  <c r="MP48" i="1"/>
  <c r="MQ48" i="1" s="1"/>
  <c r="LW48" i="1"/>
  <c r="VH48" i="1"/>
  <c r="VJ48" i="1" s="1"/>
  <c r="VK49" i="1"/>
  <c r="AE49" i="1"/>
  <c r="AD49" i="1"/>
  <c r="YL49" i="1"/>
  <c r="XW49" i="1"/>
  <c r="UD50" i="1"/>
  <c r="UE50" i="1" s="1"/>
  <c r="ZB50" i="1"/>
  <c r="BS50" i="1"/>
  <c r="BT50" i="1" s="1"/>
  <c r="BK50" i="1"/>
  <c r="BI50" i="1"/>
  <c r="BO50" i="1"/>
  <c r="BP50" i="1" s="1"/>
  <c r="GT50" i="1"/>
  <c r="GW38" i="1"/>
  <c r="MO38" i="1"/>
  <c r="VA38" i="1"/>
  <c r="ACR38" i="1"/>
  <c r="O39" i="1"/>
  <c r="Y39" i="1"/>
  <c r="AY39" i="1"/>
  <c r="BF39" i="1"/>
  <c r="BW39" i="1"/>
  <c r="CB39" i="1"/>
  <c r="CR39" i="1"/>
  <c r="CT39" i="1" s="1"/>
  <c r="DC39" i="1"/>
  <c r="DD39" i="1" s="1"/>
  <c r="DH39" i="1"/>
  <c r="DJ39" i="1" s="1"/>
  <c r="DS39" i="1"/>
  <c r="DT39" i="1" s="1"/>
  <c r="DW39" i="1"/>
  <c r="DY39" i="1" s="1"/>
  <c r="EG39" i="1"/>
  <c r="EK39" i="1"/>
  <c r="EM39" i="1" s="1"/>
  <c r="EZ39" i="1"/>
  <c r="FB39" i="1" s="1"/>
  <c r="FK39" i="1"/>
  <c r="FL39" i="1" s="1"/>
  <c r="ABW39" i="1" s="1"/>
  <c r="FO39" i="1"/>
  <c r="FQ39" i="1" s="1"/>
  <c r="FX39" i="1"/>
  <c r="HN39" i="1"/>
  <c r="IZ39" i="1"/>
  <c r="JA39" i="1" s="1"/>
  <c r="JG39" i="1"/>
  <c r="JH39" i="1" s="1"/>
  <c r="JL39" i="1"/>
  <c r="KM39" i="1"/>
  <c r="KN39" i="1" s="1"/>
  <c r="LO39" i="1"/>
  <c r="AAX39" i="1" s="1"/>
  <c r="ADG39" i="1" s="1"/>
  <c r="LW39" i="1"/>
  <c r="MP39" i="1"/>
  <c r="MQ39" i="1" s="1"/>
  <c r="MU39" i="1"/>
  <c r="MX39" i="1"/>
  <c r="NB39" i="1"/>
  <c r="NE39" i="1"/>
  <c r="NJ39" i="1"/>
  <c r="NM39" i="1"/>
  <c r="NQ39" i="1"/>
  <c r="NT39" i="1"/>
  <c r="NX39" i="1"/>
  <c r="OA39" i="1"/>
  <c r="OE39" i="1"/>
  <c r="OJ39" i="1"/>
  <c r="OL39" i="1"/>
  <c r="OO39" i="1"/>
  <c r="OR39" i="1" s="1"/>
  <c r="RY39" i="1"/>
  <c r="SX39" i="1"/>
  <c r="UO39" i="1"/>
  <c r="UQ39" i="1" s="1"/>
  <c r="VB39" i="1"/>
  <c r="WT39" i="1"/>
  <c r="ZA39" i="1"/>
  <c r="ZO39" i="1"/>
  <c r="AEB39" i="1"/>
  <c r="AC40" i="1"/>
  <c r="AY40" i="1"/>
  <c r="BF40" i="1"/>
  <c r="BW40" i="1"/>
  <c r="CB40" i="1"/>
  <c r="CR40" i="1"/>
  <c r="CT40" i="1" s="1"/>
  <c r="DC40" i="1"/>
  <c r="DD40" i="1" s="1"/>
  <c r="DH40" i="1"/>
  <c r="DJ40" i="1" s="1"/>
  <c r="DS40" i="1"/>
  <c r="DT40" i="1" s="1"/>
  <c r="DW40" i="1"/>
  <c r="DY40" i="1" s="1"/>
  <c r="EG40" i="1"/>
  <c r="EK40" i="1"/>
  <c r="EM40" i="1" s="1"/>
  <c r="EZ40" i="1"/>
  <c r="FB40" i="1" s="1"/>
  <c r="FK40" i="1"/>
  <c r="FL40" i="1" s="1"/>
  <c r="ABW40" i="1" s="1"/>
  <c r="FO40" i="1"/>
  <c r="FQ40" i="1" s="1"/>
  <c r="FX40" i="1"/>
  <c r="HN40" i="1"/>
  <c r="IZ40" i="1"/>
  <c r="JA40" i="1" s="1"/>
  <c r="JG40" i="1"/>
  <c r="JH40" i="1" s="1"/>
  <c r="JL40" i="1"/>
  <c r="KM40" i="1"/>
  <c r="KN40" i="1" s="1"/>
  <c r="LO40" i="1"/>
  <c r="AAX40" i="1" s="1"/>
  <c r="ADG40" i="1" s="1"/>
  <c r="MU40" i="1"/>
  <c r="MX40" i="1"/>
  <c r="NB40" i="1"/>
  <c r="NE40" i="1"/>
  <c r="NJ40" i="1"/>
  <c r="NM40" i="1"/>
  <c r="NQ40" i="1"/>
  <c r="NT40" i="1"/>
  <c r="NX40" i="1"/>
  <c r="OA40" i="1"/>
  <c r="OE40" i="1"/>
  <c r="OJ40" i="1"/>
  <c r="OL40" i="1"/>
  <c r="OO40" i="1"/>
  <c r="OR40" i="1" s="1"/>
  <c r="RU40" i="1"/>
  <c r="SZ40" i="1"/>
  <c r="TM40" i="1"/>
  <c r="UC40" i="1"/>
  <c r="UN40" i="1"/>
  <c r="VI40" i="1"/>
  <c r="VM40" i="1"/>
  <c r="WM40" i="1"/>
  <c r="WN40" i="1" s="1"/>
  <c r="O41" i="1"/>
  <c r="BO41" i="1"/>
  <c r="BP41" i="1" s="1"/>
  <c r="CG41" i="1"/>
  <c r="CR41" i="1"/>
  <c r="CT41" i="1" s="1"/>
  <c r="DL41" i="1"/>
  <c r="DM41" i="1" s="1"/>
  <c r="DS41" i="1"/>
  <c r="DT41" i="1" s="1"/>
  <c r="DW41" i="1"/>
  <c r="DY41" i="1" s="1"/>
  <c r="HN41" i="1"/>
  <c r="IZ41" i="1"/>
  <c r="JA41" i="1" s="1"/>
  <c r="KM41" i="1"/>
  <c r="KN41" i="1" s="1"/>
  <c r="LO41" i="1"/>
  <c r="AAX41" i="1" s="1"/>
  <c r="ADG41" i="1" s="1"/>
  <c r="MU41" i="1"/>
  <c r="MX41" i="1"/>
  <c r="NB41" i="1"/>
  <c r="NE41" i="1"/>
  <c r="NJ41" i="1"/>
  <c r="NM41" i="1"/>
  <c r="NQ41" i="1"/>
  <c r="NT41" i="1"/>
  <c r="NX41" i="1"/>
  <c r="OA41" i="1"/>
  <c r="OE41" i="1"/>
  <c r="OJ41" i="1"/>
  <c r="OL41" i="1"/>
  <c r="OO41" i="1"/>
  <c r="OR41" i="1" s="1"/>
  <c r="RY41" i="1"/>
  <c r="SX41" i="1"/>
  <c r="UO41" i="1"/>
  <c r="UQ41" i="1" s="1"/>
  <c r="VB41" i="1"/>
  <c r="WT41" i="1"/>
  <c r="ZA41" i="1"/>
  <c r="ZO41" i="1"/>
  <c r="O42" i="1"/>
  <c r="BO42" i="1"/>
  <c r="BP42" i="1" s="1"/>
  <c r="CG42" i="1"/>
  <c r="CR42" i="1"/>
  <c r="CT42" i="1" s="1"/>
  <c r="DL42" i="1"/>
  <c r="DM42" i="1" s="1"/>
  <c r="DS42" i="1"/>
  <c r="DT42" i="1" s="1"/>
  <c r="DW42" i="1"/>
  <c r="DY42" i="1" s="1"/>
  <c r="HN42" i="1"/>
  <c r="IZ42" i="1"/>
  <c r="JA42" i="1" s="1"/>
  <c r="KM42" i="1"/>
  <c r="KN42" i="1" s="1"/>
  <c r="LO42" i="1"/>
  <c r="AAX42" i="1" s="1"/>
  <c r="ADG42" i="1" s="1"/>
  <c r="LW42" i="1"/>
  <c r="MP42" i="1"/>
  <c r="MQ42" i="1" s="1"/>
  <c r="MU42" i="1"/>
  <c r="MX42" i="1"/>
  <c r="NB42" i="1"/>
  <c r="NE42" i="1"/>
  <c r="NJ42" i="1"/>
  <c r="NM42" i="1"/>
  <c r="NQ42" i="1"/>
  <c r="NT42" i="1"/>
  <c r="NX42" i="1"/>
  <c r="OA42" i="1"/>
  <c r="OE42" i="1"/>
  <c r="OJ42" i="1"/>
  <c r="OL42" i="1"/>
  <c r="OO42" i="1"/>
  <c r="OR42" i="1" s="1"/>
  <c r="RY42" i="1"/>
  <c r="SX42" i="1"/>
  <c r="UO42" i="1"/>
  <c r="UQ42" i="1" s="1"/>
  <c r="VB42" i="1"/>
  <c r="WT42" i="1"/>
  <c r="ZA42" i="1"/>
  <c r="ZO42" i="1"/>
  <c r="AEB42" i="1"/>
  <c r="AC43" i="1"/>
  <c r="BF43" i="1"/>
  <c r="BW43" i="1"/>
  <c r="CB43" i="1"/>
  <c r="CV43" i="1"/>
  <c r="DC43" i="1"/>
  <c r="DD43" i="1" s="1"/>
  <c r="DH43" i="1"/>
  <c r="DJ43" i="1" s="1"/>
  <c r="EO43" i="1"/>
  <c r="EP43" i="1" s="1"/>
  <c r="EZ43" i="1"/>
  <c r="FB43" i="1" s="1"/>
  <c r="FS43" i="1"/>
  <c r="FT43" i="1" s="1"/>
  <c r="FU43" i="1"/>
  <c r="FV43" i="1" s="1"/>
  <c r="GB43" i="1"/>
  <c r="GC43" i="1" s="1"/>
  <c r="GF43" i="1"/>
  <c r="GS43" i="1"/>
  <c r="HJ43" i="1"/>
  <c r="HL43" i="1" s="1"/>
  <c r="HK43" i="1" s="1"/>
  <c r="HP43" i="1"/>
  <c r="HR43" i="1" s="1"/>
  <c r="IZ43" i="1"/>
  <c r="JA43" i="1" s="1"/>
  <c r="JG43" i="1"/>
  <c r="JH43" i="1" s="1"/>
  <c r="JL43" i="1"/>
  <c r="KM43" i="1"/>
  <c r="KN43" i="1" s="1"/>
  <c r="LO43" i="1"/>
  <c r="AAX43" i="1" s="1"/>
  <c r="ADG43" i="1" s="1"/>
  <c r="MU43" i="1"/>
  <c r="MX43" i="1"/>
  <c r="NB43" i="1"/>
  <c r="NE43" i="1"/>
  <c r="NJ43" i="1"/>
  <c r="NM43" i="1"/>
  <c r="NQ43" i="1"/>
  <c r="NT43" i="1"/>
  <c r="NX43" i="1"/>
  <c r="OA43" i="1"/>
  <c r="OE43" i="1"/>
  <c r="OJ43" i="1"/>
  <c r="OL43" i="1"/>
  <c r="OO43" i="1"/>
  <c r="OR43" i="1" s="1"/>
  <c r="RY43" i="1"/>
  <c r="SX43" i="1"/>
  <c r="UO43" i="1"/>
  <c r="UQ43" i="1" s="1"/>
  <c r="VB43" i="1"/>
  <c r="WT43" i="1"/>
  <c r="ZA43" i="1"/>
  <c r="ZO43" i="1"/>
  <c r="O44" i="1"/>
  <c r="CG44" i="1"/>
  <c r="CR44" i="1"/>
  <c r="CT44" i="1" s="1"/>
  <c r="DL44" i="1"/>
  <c r="DM44" i="1" s="1"/>
  <c r="DS44" i="1"/>
  <c r="DT44" i="1" s="1"/>
  <c r="DW44" i="1"/>
  <c r="DY44" i="1" s="1"/>
  <c r="GX44" i="1"/>
  <c r="HB44" i="1"/>
  <c r="HF44" i="1"/>
  <c r="HN44" i="1"/>
  <c r="IZ44" i="1"/>
  <c r="JA44" i="1" s="1"/>
  <c r="KM44" i="1"/>
  <c r="KN44" i="1" s="1"/>
  <c r="LO44" i="1"/>
  <c r="AAX44" i="1" s="1"/>
  <c r="ADG44" i="1" s="1"/>
  <c r="LW44" i="1"/>
  <c r="MP44" i="1"/>
  <c r="MQ44" i="1" s="1"/>
  <c r="MU44" i="1"/>
  <c r="MX44" i="1"/>
  <c r="NB44" i="1"/>
  <c r="NE44" i="1"/>
  <c r="NJ44" i="1"/>
  <c r="NM44" i="1"/>
  <c r="NQ44" i="1"/>
  <c r="NT44" i="1"/>
  <c r="NX44" i="1"/>
  <c r="OA44" i="1"/>
  <c r="OE44" i="1"/>
  <c r="OJ44" i="1"/>
  <c r="OL44" i="1"/>
  <c r="OO44" i="1"/>
  <c r="OR44" i="1" s="1"/>
  <c r="RY44" i="1"/>
  <c r="SX44" i="1"/>
  <c r="UO44" i="1"/>
  <c r="UQ44" i="1" s="1"/>
  <c r="VB44" i="1"/>
  <c r="WT44" i="1"/>
  <c r="ZA44" i="1"/>
  <c r="ZO44" i="1"/>
  <c r="O45" i="1"/>
  <c r="CG45" i="1"/>
  <c r="CR45" i="1"/>
  <c r="CT45" i="1" s="1"/>
  <c r="DL45" i="1"/>
  <c r="DM45" i="1" s="1"/>
  <c r="DS45" i="1"/>
  <c r="DT45" i="1" s="1"/>
  <c r="DW45" i="1"/>
  <c r="DY45" i="1" s="1"/>
  <c r="HN45" i="1"/>
  <c r="IZ45" i="1"/>
  <c r="JA45" i="1" s="1"/>
  <c r="KM45" i="1"/>
  <c r="KN45" i="1" s="1"/>
  <c r="LO45" i="1"/>
  <c r="AAX45" i="1" s="1"/>
  <c r="ADG45" i="1" s="1"/>
  <c r="LW45" i="1"/>
  <c r="MP45" i="1"/>
  <c r="MQ45" i="1" s="1"/>
  <c r="MU45" i="1"/>
  <c r="MX45" i="1"/>
  <c r="NB45" i="1"/>
  <c r="NE45" i="1"/>
  <c r="NJ45" i="1"/>
  <c r="NM45" i="1"/>
  <c r="NQ45" i="1"/>
  <c r="NT45" i="1"/>
  <c r="NX45" i="1"/>
  <c r="OA45" i="1"/>
  <c r="OE45" i="1"/>
  <c r="OJ45" i="1"/>
  <c r="OL45" i="1"/>
  <c r="OO45" i="1"/>
  <c r="OR45" i="1" s="1"/>
  <c r="RY45" i="1"/>
  <c r="SX45" i="1"/>
  <c r="UO45" i="1"/>
  <c r="UQ45" i="1" s="1"/>
  <c r="VB45" i="1"/>
  <c r="WT45" i="1"/>
  <c r="ZA45" i="1"/>
  <c r="ZO45" i="1"/>
  <c r="ACR45" i="1"/>
  <c r="J46" i="1"/>
  <c r="R46" i="1"/>
  <c r="AY46" i="1"/>
  <c r="BF46" i="1"/>
  <c r="BI46" i="1"/>
  <c r="BJ46" i="1" s="1"/>
  <c r="BK46" i="1"/>
  <c r="BW46" i="1"/>
  <c r="CB46" i="1"/>
  <c r="CR46" i="1"/>
  <c r="DC46" i="1"/>
  <c r="DD46" i="1" s="1"/>
  <c r="DH46" i="1"/>
  <c r="DS46" i="1"/>
  <c r="DT46" i="1" s="1"/>
  <c r="DW46" i="1"/>
  <c r="GH46" i="1"/>
  <c r="GI46" i="1" s="1"/>
  <c r="GJ46" i="1" s="1"/>
  <c r="ZA46" i="1"/>
  <c r="HN46" i="1"/>
  <c r="IZ46" i="1"/>
  <c r="JA46" i="1" s="1"/>
  <c r="KM46" i="1"/>
  <c r="KN46" i="1" s="1"/>
  <c r="ABS46" i="1"/>
  <c r="SC47" i="1"/>
  <c r="SH47" i="1"/>
  <c r="VA47" i="1"/>
  <c r="VA48" i="1"/>
  <c r="WM46" i="1"/>
  <c r="WN46" i="1" s="1"/>
  <c r="VM46" i="1"/>
  <c r="UN46" i="1"/>
  <c r="UC46" i="1"/>
  <c r="TM46" i="1"/>
  <c r="SZ46" i="1"/>
  <c r="RU46" i="1"/>
  <c r="PE46" i="1"/>
  <c r="PB46" i="1"/>
  <c r="OU46" i="1"/>
  <c r="OY46" i="1" s="1"/>
  <c r="OC46" i="1"/>
  <c r="OA46" i="1"/>
  <c r="NT46" i="1"/>
  <c r="NQ46" i="1"/>
  <c r="NM46" i="1"/>
  <c r="NJ46" i="1"/>
  <c r="NE46" i="1"/>
  <c r="NB46" i="1"/>
  <c r="MX46" i="1"/>
  <c r="MU46" i="1"/>
  <c r="LO46" i="1"/>
  <c r="AAX46" i="1" s="1"/>
  <c r="ADG46" i="1" s="1"/>
  <c r="WT46" i="1"/>
  <c r="VB46" i="1"/>
  <c r="UO46" i="1"/>
  <c r="UQ46" i="1" s="1"/>
  <c r="SX46" i="1"/>
  <c r="RY46" i="1"/>
  <c r="OW46" i="1"/>
  <c r="OO46" i="1"/>
  <c r="OR46" i="1" s="1"/>
  <c r="OJ46" i="1"/>
  <c r="OE46" i="1"/>
  <c r="NX46" i="1"/>
  <c r="NV46" i="1"/>
  <c r="NO46" i="1"/>
  <c r="NG46" i="1"/>
  <c r="MZ46" i="1"/>
  <c r="LQ46" i="1"/>
  <c r="AAZ46" i="1" s="1"/>
  <c r="ADI46" i="1" s="1"/>
  <c r="LG46" i="1"/>
  <c r="KR46" i="1"/>
  <c r="KK46" i="1"/>
  <c r="KG46" i="1"/>
  <c r="KH46" i="1" s="1"/>
  <c r="ZB46" i="1"/>
  <c r="VA46" i="1"/>
  <c r="UA46" i="1"/>
  <c r="QU46" i="1"/>
  <c r="QV46" i="1" s="1"/>
  <c r="QM46" i="1"/>
  <c r="QK46" i="1" s="1"/>
  <c r="QL46" i="1" s="1"/>
  <c r="JX47" i="1"/>
  <c r="GL47" i="1"/>
  <c r="GT47" i="1"/>
  <c r="ADV47" i="1"/>
  <c r="ADF47" i="1"/>
  <c r="ADE47" i="1" s="1"/>
  <c r="AAT47" i="1"/>
  <c r="IC47" i="1"/>
  <c r="ID47" i="1"/>
  <c r="IE47" i="1" s="1"/>
  <c r="KX47" i="1"/>
  <c r="VH47" i="1"/>
  <c r="VJ47" i="1" s="1"/>
  <c r="MP47" i="1"/>
  <c r="MQ47" i="1" s="1"/>
  <c r="LW47" i="1"/>
  <c r="VC47" i="1"/>
  <c r="XX47" i="1" s="1"/>
  <c r="NY47" i="1"/>
  <c r="VK48" i="1"/>
  <c r="AE48" i="1"/>
  <c r="AD48" i="1"/>
  <c r="ZB48" i="1"/>
  <c r="BS48" i="1"/>
  <c r="BT48" i="1" s="1"/>
  <c r="BK48" i="1"/>
  <c r="BI48" i="1"/>
  <c r="BO48" i="1"/>
  <c r="BP48" i="1" s="1"/>
  <c r="GT48" i="1"/>
  <c r="ADV48" i="1"/>
  <c r="ADF48" i="1"/>
  <c r="AAT48" i="1"/>
  <c r="UA48" i="1"/>
  <c r="QU48" i="1"/>
  <c r="QM48" i="1"/>
  <c r="QK48" i="1" s="1"/>
  <c r="ZB49" i="1"/>
  <c r="BS49" i="1"/>
  <c r="BT49" i="1" s="1"/>
  <c r="BK49" i="1"/>
  <c r="BI49" i="1"/>
  <c r="BO49" i="1"/>
  <c r="BP49" i="1" s="1"/>
  <c r="ADV49" i="1"/>
  <c r="ADF49" i="1"/>
  <c r="AAT49" i="1"/>
  <c r="VI49" i="1"/>
  <c r="MO49" i="1"/>
  <c r="AE50" i="1"/>
  <c r="VK50" i="1"/>
  <c r="AD50" i="1"/>
  <c r="YL50" i="1"/>
  <c r="XW50" i="1"/>
  <c r="VI50" i="1"/>
  <c r="MO50" i="1"/>
  <c r="ZO38" i="1"/>
  <c r="GB39" i="1"/>
  <c r="GC39" i="1" s="1"/>
  <c r="GF39" i="1"/>
  <c r="HJ39" i="1"/>
  <c r="HL39" i="1" s="1"/>
  <c r="HK39" i="1" s="1"/>
  <c r="HP39" i="1"/>
  <c r="HR39" i="1" s="1"/>
  <c r="HT39" i="1"/>
  <c r="HU39" i="1" s="1"/>
  <c r="HX39" i="1"/>
  <c r="HZ39" i="1" s="1"/>
  <c r="IJ39" i="1"/>
  <c r="IQ39" i="1"/>
  <c r="IR39" i="1" s="1"/>
  <c r="IX39" i="1"/>
  <c r="JN39" i="1"/>
  <c r="JO39" i="1" s="1"/>
  <c r="JU39" i="1"/>
  <c r="JV39" i="1" s="1"/>
  <c r="KG39" i="1"/>
  <c r="KH39" i="1" s="1"/>
  <c r="KK39" i="1"/>
  <c r="KR39" i="1"/>
  <c r="KT39" i="1" s="1"/>
  <c r="LG39" i="1"/>
  <c r="LQ39" i="1"/>
  <c r="AAZ39" i="1" s="1"/>
  <c r="ADI39" i="1" s="1"/>
  <c r="MZ39" i="1"/>
  <c r="NG39" i="1"/>
  <c r="NO39" i="1"/>
  <c r="NV39" i="1"/>
  <c r="OC39" i="1"/>
  <c r="OU39" i="1"/>
  <c r="OY39" i="1" s="1"/>
  <c r="OW39" i="1" s="1"/>
  <c r="PB39" i="1"/>
  <c r="PE39" i="1"/>
  <c r="QL39" i="1"/>
  <c r="QN39" i="1"/>
  <c r="QV39" i="1"/>
  <c r="RU39" i="1"/>
  <c r="SZ39" i="1"/>
  <c r="TM39" i="1"/>
  <c r="UC39" i="1"/>
  <c r="UN39" i="1"/>
  <c r="VM39" i="1"/>
  <c r="O40" i="1"/>
  <c r="CJ40" i="1"/>
  <c r="CY40" i="1"/>
  <c r="GB40" i="1"/>
  <c r="GC40" i="1" s="1"/>
  <c r="GF40" i="1"/>
  <c r="GW40" i="1"/>
  <c r="HJ40" i="1"/>
  <c r="HL40" i="1" s="1"/>
  <c r="HK40" i="1" s="1"/>
  <c r="HP40" i="1"/>
  <c r="HR40" i="1" s="1"/>
  <c r="HT40" i="1"/>
  <c r="HU40" i="1" s="1"/>
  <c r="HX40" i="1"/>
  <c r="HZ40" i="1" s="1"/>
  <c r="IJ40" i="1"/>
  <c r="IQ40" i="1"/>
  <c r="IR40" i="1" s="1"/>
  <c r="IX40" i="1"/>
  <c r="JN40" i="1"/>
  <c r="JO40" i="1" s="1"/>
  <c r="JU40" i="1"/>
  <c r="JV40" i="1" s="1"/>
  <c r="KG40" i="1"/>
  <c r="KH40" i="1" s="1"/>
  <c r="KK40" i="1"/>
  <c r="KR40" i="1"/>
  <c r="KT40" i="1" s="1"/>
  <c r="LG40" i="1"/>
  <c r="LQ40" i="1"/>
  <c r="AAZ40" i="1" s="1"/>
  <c r="ADI40" i="1" s="1"/>
  <c r="MZ40" i="1"/>
  <c r="NG40" i="1"/>
  <c r="NO40" i="1"/>
  <c r="NV40" i="1"/>
  <c r="OC40" i="1"/>
  <c r="OU40" i="1"/>
  <c r="OY40" i="1" s="1"/>
  <c r="OW40" i="1" s="1"/>
  <c r="PB40" i="1"/>
  <c r="PE40" i="1"/>
  <c r="QL40" i="1"/>
  <c r="QN40" i="1"/>
  <c r="QV40" i="1"/>
  <c r="RY40" i="1"/>
  <c r="SX40" i="1"/>
  <c r="UO40" i="1"/>
  <c r="UQ40" i="1" s="1"/>
  <c r="VB40" i="1"/>
  <c r="ZO40" i="1"/>
  <c r="J41" i="1"/>
  <c r="R41" i="1"/>
  <c r="AY41" i="1"/>
  <c r="BF41" i="1"/>
  <c r="BI41" i="1"/>
  <c r="BJ41" i="1" s="1"/>
  <c r="BK41" i="1"/>
  <c r="BS41" i="1"/>
  <c r="BT41" i="1" s="1"/>
  <c r="BW41" i="1"/>
  <c r="CB41" i="1"/>
  <c r="CV41" i="1"/>
  <c r="DC41" i="1"/>
  <c r="DD41" i="1" s="1"/>
  <c r="DH41" i="1"/>
  <c r="DJ41" i="1" s="1"/>
  <c r="HJ41" i="1"/>
  <c r="HL41" i="1" s="1"/>
  <c r="HK41" i="1" s="1"/>
  <c r="HP41" i="1"/>
  <c r="HR41" i="1" s="1"/>
  <c r="HT41" i="1"/>
  <c r="HU41" i="1" s="1"/>
  <c r="HX41" i="1"/>
  <c r="HZ41" i="1" s="1"/>
  <c r="IJ41" i="1"/>
  <c r="JN41" i="1"/>
  <c r="JO41" i="1" s="1"/>
  <c r="KG41" i="1"/>
  <c r="KH41" i="1" s="1"/>
  <c r="KK41" i="1"/>
  <c r="KR41" i="1"/>
  <c r="KT41" i="1" s="1"/>
  <c r="LG41" i="1"/>
  <c r="LQ41" i="1"/>
  <c r="AAZ41" i="1" s="1"/>
  <c r="ADI41" i="1" s="1"/>
  <c r="MO41" i="1"/>
  <c r="MZ41" i="1"/>
  <c r="NG41" i="1"/>
  <c r="NO41" i="1"/>
  <c r="NV41" i="1"/>
  <c r="OC41" i="1"/>
  <c r="OU41" i="1"/>
  <c r="OY41" i="1" s="1"/>
  <c r="OW41" i="1" s="1"/>
  <c r="PB41" i="1"/>
  <c r="PE41" i="1"/>
  <c r="QL41" i="1"/>
  <c r="QN41" i="1"/>
  <c r="QV41" i="1"/>
  <c r="RU41" i="1"/>
  <c r="SZ41" i="1"/>
  <c r="TM41" i="1"/>
  <c r="UC41" i="1"/>
  <c r="UN41" i="1"/>
  <c r="VM41" i="1"/>
  <c r="ACR41" i="1"/>
  <c r="J42" i="1"/>
  <c r="R42" i="1"/>
  <c r="AY42" i="1"/>
  <c r="BF42" i="1"/>
  <c r="BI42" i="1"/>
  <c r="BJ42" i="1" s="1"/>
  <c r="BK42" i="1"/>
  <c r="BS42" i="1"/>
  <c r="BT42" i="1" s="1"/>
  <c r="BW42" i="1"/>
  <c r="CB42" i="1"/>
  <c r="CV42" i="1"/>
  <c r="DC42" i="1"/>
  <c r="DD42" i="1" s="1"/>
  <c r="DH42" i="1"/>
  <c r="DJ42" i="1" s="1"/>
  <c r="HJ42" i="1"/>
  <c r="HL42" i="1" s="1"/>
  <c r="HK42" i="1" s="1"/>
  <c r="HP42" i="1"/>
  <c r="HR42" i="1" s="1"/>
  <c r="HT42" i="1"/>
  <c r="HU42" i="1" s="1"/>
  <c r="HX42" i="1"/>
  <c r="HZ42" i="1" s="1"/>
  <c r="IJ42" i="1"/>
  <c r="JN42" i="1"/>
  <c r="JO42" i="1" s="1"/>
  <c r="KG42" i="1"/>
  <c r="KK42" i="1"/>
  <c r="KR42" i="1"/>
  <c r="KT42" i="1" s="1"/>
  <c r="LG42" i="1"/>
  <c r="LQ42" i="1"/>
  <c r="AAZ42" i="1" s="1"/>
  <c r="ADI42" i="1" s="1"/>
  <c r="MZ42" i="1"/>
  <c r="NG42" i="1"/>
  <c r="NO42" i="1"/>
  <c r="NV42" i="1"/>
  <c r="OC42" i="1"/>
  <c r="OU42" i="1"/>
  <c r="OY42" i="1" s="1"/>
  <c r="OW42" i="1" s="1"/>
  <c r="PB42" i="1"/>
  <c r="PE42" i="1"/>
  <c r="QL42" i="1"/>
  <c r="QN42" i="1"/>
  <c r="QV42" i="1"/>
  <c r="RU42" i="1"/>
  <c r="SZ42" i="1"/>
  <c r="TM42" i="1"/>
  <c r="UC42" i="1"/>
  <c r="UN42" i="1"/>
  <c r="VM42" i="1"/>
  <c r="O43" i="1"/>
  <c r="CG43" i="1"/>
  <c r="CR43" i="1"/>
  <c r="CT43" i="1" s="1"/>
  <c r="DL43" i="1"/>
  <c r="DM43" i="1" s="1"/>
  <c r="DS43" i="1"/>
  <c r="DT43" i="1" s="1"/>
  <c r="DW43" i="1"/>
  <c r="DY43" i="1" s="1"/>
  <c r="EG43" i="1"/>
  <c r="EK43" i="1"/>
  <c r="EM43" i="1" s="1"/>
  <c r="FD43" i="1"/>
  <c r="FE43" i="1" s="1"/>
  <c r="FK43" i="1"/>
  <c r="FL43" i="1" s="1"/>
  <c r="ABW43" i="1" s="1"/>
  <c r="FO43" i="1"/>
  <c r="FQ43" i="1" s="1"/>
  <c r="HN43" i="1"/>
  <c r="HX43" i="1"/>
  <c r="HZ43" i="1" s="1"/>
  <c r="IJ43" i="1"/>
  <c r="IQ43" i="1"/>
  <c r="IR43" i="1" s="1"/>
  <c r="IX43" i="1"/>
  <c r="JN43" i="1"/>
  <c r="JO43" i="1" s="1"/>
  <c r="JU43" i="1"/>
  <c r="JV43" i="1" s="1"/>
  <c r="KG43" i="1"/>
  <c r="KH43" i="1" s="1"/>
  <c r="KK43" i="1"/>
  <c r="KR43" i="1"/>
  <c r="KT43" i="1" s="1"/>
  <c r="LG43" i="1"/>
  <c r="LQ43" i="1"/>
  <c r="AAZ43" i="1" s="1"/>
  <c r="ADI43" i="1" s="1"/>
  <c r="MO43" i="1"/>
  <c r="MZ43" i="1"/>
  <c r="NG43" i="1"/>
  <c r="NO43" i="1"/>
  <c r="NV43" i="1"/>
  <c r="OC43" i="1"/>
  <c r="OU43" i="1"/>
  <c r="OY43" i="1" s="1"/>
  <c r="OW43" i="1" s="1"/>
  <c r="PB43" i="1"/>
  <c r="PE43" i="1"/>
  <c r="QL43" i="1"/>
  <c r="QN43" i="1"/>
  <c r="QV43" i="1"/>
  <c r="RU43" i="1"/>
  <c r="SZ43" i="1"/>
  <c r="TM43" i="1"/>
  <c r="UC43" i="1"/>
  <c r="UN43" i="1"/>
  <c r="VM43" i="1"/>
  <c r="WM43" i="1"/>
  <c r="WN43" i="1" s="1"/>
  <c r="J44" i="1"/>
  <c r="R44" i="1"/>
  <c r="AY44" i="1"/>
  <c r="BF44" i="1"/>
  <c r="BW44" i="1"/>
  <c r="CB44" i="1"/>
  <c r="CV44" i="1"/>
  <c r="DC44" i="1"/>
  <c r="DD44" i="1" s="1"/>
  <c r="DH44" i="1"/>
  <c r="DJ44" i="1" s="1"/>
  <c r="GS44" i="1"/>
  <c r="HJ44" i="1"/>
  <c r="HL44" i="1" s="1"/>
  <c r="HK44" i="1" s="1"/>
  <c r="HP44" i="1"/>
  <c r="HR44" i="1" s="1"/>
  <c r="HT44" i="1"/>
  <c r="HU44" i="1" s="1"/>
  <c r="HX44" i="1"/>
  <c r="HZ44" i="1" s="1"/>
  <c r="IJ44" i="1"/>
  <c r="JN44" i="1"/>
  <c r="JO44" i="1" s="1"/>
  <c r="KG44" i="1"/>
  <c r="KK44" i="1"/>
  <c r="KR44" i="1"/>
  <c r="KT44" i="1" s="1"/>
  <c r="LG44" i="1"/>
  <c r="LQ44" i="1"/>
  <c r="AAZ44" i="1" s="1"/>
  <c r="ADI44" i="1" s="1"/>
  <c r="MZ44" i="1"/>
  <c r="NG44" i="1"/>
  <c r="NO44" i="1"/>
  <c r="NV44" i="1"/>
  <c r="OC44" i="1"/>
  <c r="OU44" i="1"/>
  <c r="OY44" i="1" s="1"/>
  <c r="OW44" i="1" s="1"/>
  <c r="PB44" i="1"/>
  <c r="PE44" i="1"/>
  <c r="QL44" i="1"/>
  <c r="QN44" i="1"/>
  <c r="QV44" i="1"/>
  <c r="RU44" i="1"/>
  <c r="SZ44" i="1"/>
  <c r="TM44" i="1"/>
  <c r="UC44" i="1"/>
  <c r="UN44" i="1"/>
  <c r="VM44" i="1"/>
  <c r="WM44" i="1"/>
  <c r="WN44" i="1" s="1"/>
  <c r="J45" i="1"/>
  <c r="R45" i="1"/>
  <c r="AY45" i="1"/>
  <c r="BF45" i="1"/>
  <c r="BW45" i="1"/>
  <c r="CB45" i="1"/>
  <c r="CV45" i="1"/>
  <c r="DC45" i="1"/>
  <c r="DD45" i="1" s="1"/>
  <c r="DH45" i="1"/>
  <c r="DJ45" i="1" s="1"/>
  <c r="GS45" i="1"/>
  <c r="HJ45" i="1"/>
  <c r="HL45" i="1" s="1"/>
  <c r="HK45" i="1" s="1"/>
  <c r="HP45" i="1"/>
  <c r="HR45" i="1" s="1"/>
  <c r="HT45" i="1"/>
  <c r="HU45" i="1" s="1"/>
  <c r="HX45" i="1"/>
  <c r="HZ45" i="1" s="1"/>
  <c r="IJ45" i="1"/>
  <c r="JN45" i="1"/>
  <c r="JO45" i="1" s="1"/>
  <c r="KG45" i="1"/>
  <c r="KK45" i="1"/>
  <c r="KR45" i="1"/>
  <c r="KT45" i="1" s="1"/>
  <c r="LG45" i="1"/>
  <c r="LQ45" i="1"/>
  <c r="AAZ45" i="1" s="1"/>
  <c r="ADI45" i="1" s="1"/>
  <c r="MZ45" i="1"/>
  <c r="NG45" i="1"/>
  <c r="NO45" i="1"/>
  <c r="NV45" i="1"/>
  <c r="OC45" i="1"/>
  <c r="OU45" i="1"/>
  <c r="OY45" i="1" s="1"/>
  <c r="OW45" i="1" s="1"/>
  <c r="PB45" i="1"/>
  <c r="PE45" i="1"/>
  <c r="QL45" i="1"/>
  <c r="QN45" i="1"/>
  <c r="QV45" i="1"/>
  <c r="RU45" i="1"/>
  <c r="SZ45" i="1"/>
  <c r="TM45" i="1"/>
  <c r="UC45" i="1"/>
  <c r="UN45" i="1"/>
  <c r="VM45" i="1"/>
  <c r="WM45" i="1"/>
  <c r="WN45" i="1" s="1"/>
  <c r="O46" i="1"/>
  <c r="BO46" i="1"/>
  <c r="BP46" i="1" s="1"/>
  <c r="CD46" i="1"/>
  <c r="CJ46" i="1"/>
  <c r="CT46" i="1"/>
  <c r="CU46" i="1" s="1"/>
  <c r="CY46" i="1"/>
  <c r="DJ46" i="1"/>
  <c r="DK46" i="1" s="1"/>
  <c r="DY46" i="1"/>
  <c r="DZ46" i="1" s="1"/>
  <c r="EM46" i="1"/>
  <c r="EN46" i="1" s="1"/>
  <c r="FB46" i="1"/>
  <c r="FC46" i="1" s="1"/>
  <c r="FQ46" i="1"/>
  <c r="FR46" i="1" s="1"/>
  <c r="AAS46" i="1"/>
  <c r="HJ46" i="1"/>
  <c r="HL46" i="1" s="1"/>
  <c r="HK46" i="1" s="1"/>
  <c r="HP46" i="1"/>
  <c r="HR46" i="1" s="1"/>
  <c r="HT46" i="1"/>
  <c r="HU46" i="1" s="1"/>
  <c r="HX46" i="1"/>
  <c r="HZ46" i="1" s="1"/>
  <c r="IJ46" i="1"/>
  <c r="JN46" i="1"/>
  <c r="JO46" i="1" s="1"/>
  <c r="VI46" i="1"/>
  <c r="RZ47" i="1"/>
  <c r="SA47" i="1" s="1"/>
  <c r="VH49" i="1"/>
  <c r="VJ49" i="1" s="1"/>
  <c r="VH51" i="1"/>
  <c r="MP51" i="1"/>
  <c r="MQ51" i="1" s="1"/>
  <c r="LW51" i="1"/>
  <c r="EA52" i="1"/>
  <c r="UA52" i="1"/>
  <c r="QU52" i="1"/>
  <c r="QM52" i="1"/>
  <c r="QK52" i="1" s="1"/>
  <c r="VH53" i="1"/>
  <c r="MP53" i="1"/>
  <c r="MQ53" i="1" s="1"/>
  <c r="LW53" i="1"/>
  <c r="MO46" i="1"/>
  <c r="OL46" i="1"/>
  <c r="ZO46" i="1"/>
  <c r="AC47" i="1"/>
  <c r="CN47" i="1"/>
  <c r="CO47" i="1" s="1"/>
  <c r="EG47" i="1"/>
  <c r="FK47" i="1"/>
  <c r="FL47" i="1" s="1"/>
  <c r="ABW47" i="1" s="1"/>
  <c r="FX47" i="1"/>
  <c r="JG47" i="1"/>
  <c r="JH47" i="1" s="1"/>
  <c r="JQ47" i="1"/>
  <c r="SE47" i="1"/>
  <c r="TN47" i="1"/>
  <c r="UF47" i="1"/>
  <c r="UG47" i="1" s="1"/>
  <c r="VD47" i="1"/>
  <c r="YB47" i="1" s="1"/>
  <c r="VF47" i="1"/>
  <c r="VN47" i="1"/>
  <c r="WC47" i="1" s="1"/>
  <c r="YR47" i="1" s="1"/>
  <c r="YD47" i="1"/>
  <c r="ZA47" i="1"/>
  <c r="ZC47" i="1"/>
  <c r="ZE47" i="1"/>
  <c r="ZG47" i="1"/>
  <c r="ZO47" i="1"/>
  <c r="ABA47" i="1"/>
  <c r="ADM47" i="1" s="1"/>
  <c r="ABD47" i="1"/>
  <c r="ABS47" i="1"/>
  <c r="O48" i="1"/>
  <c r="CD48" i="1"/>
  <c r="CJ48" i="1"/>
  <c r="CT48" i="1"/>
  <c r="CU48" i="1" s="1"/>
  <c r="CY48" i="1"/>
  <c r="DJ48" i="1"/>
  <c r="DK48" i="1" s="1"/>
  <c r="DY48" i="1"/>
  <c r="DZ48" i="1" s="1"/>
  <c r="EM48" i="1"/>
  <c r="EN48" i="1" s="1"/>
  <c r="FB48" i="1"/>
  <c r="FC48" i="1" s="1"/>
  <c r="FQ48" i="1"/>
  <c r="FR48" i="1" s="1"/>
  <c r="FW48" i="1"/>
  <c r="GF48" i="1"/>
  <c r="GK48" i="1"/>
  <c r="GW48" i="1"/>
  <c r="GX48" i="1" s="1"/>
  <c r="HJ48" i="1"/>
  <c r="HL48" i="1" s="1"/>
  <c r="HK48" i="1" s="1"/>
  <c r="HP48" i="1"/>
  <c r="HR48" i="1" s="1"/>
  <c r="HT48" i="1"/>
  <c r="HU48" i="1" s="1"/>
  <c r="HX48" i="1"/>
  <c r="HZ48" i="1" s="1"/>
  <c r="IJ48" i="1"/>
  <c r="IX48" i="1"/>
  <c r="JN48" i="1"/>
  <c r="JO48" i="1" s="1"/>
  <c r="JQ48" i="1" s="1"/>
  <c r="JP48" i="1"/>
  <c r="JW48" i="1"/>
  <c r="KR48" i="1"/>
  <c r="KW48" i="1"/>
  <c r="LG48" i="1"/>
  <c r="LQ48" i="1"/>
  <c r="AAZ48" i="1" s="1"/>
  <c r="ADI48" i="1" s="1"/>
  <c r="MO48" i="1"/>
  <c r="MZ48" i="1"/>
  <c r="NG48" i="1"/>
  <c r="NO48" i="1"/>
  <c r="NV48" i="1"/>
  <c r="NX48" i="1"/>
  <c r="OE48" i="1"/>
  <c r="OJ48" i="1"/>
  <c r="OL48" i="1"/>
  <c r="OO48" i="1"/>
  <c r="OR48" i="1" s="1"/>
  <c r="RY48" i="1"/>
  <c r="SX48" i="1"/>
  <c r="UO48" i="1"/>
  <c r="UQ48" i="1" s="1"/>
  <c r="VB48" i="1"/>
  <c r="WT48" i="1"/>
  <c r="ZO48" i="1"/>
  <c r="J49" i="1"/>
  <c r="Y49" i="1"/>
  <c r="CD49" i="1"/>
  <c r="CG49" i="1"/>
  <c r="CR49" i="1"/>
  <c r="DJ49" i="1"/>
  <c r="DK49" i="1" s="1"/>
  <c r="DL49" i="1"/>
  <c r="DM49" i="1" s="1"/>
  <c r="DS49" i="1"/>
  <c r="DT49" i="1" s="1"/>
  <c r="DW49" i="1"/>
  <c r="FB49" i="1"/>
  <c r="FC49" i="1" s="1"/>
  <c r="GH49" i="1"/>
  <c r="GI49" i="1" s="1"/>
  <c r="GJ49" i="1" s="1"/>
  <c r="GS49" i="1"/>
  <c r="HA49" i="1"/>
  <c r="HB49" i="1" s="1"/>
  <c r="HN49" i="1"/>
  <c r="IZ49" i="1"/>
  <c r="JA49" i="1" s="1"/>
  <c r="KM49" i="1"/>
  <c r="KN49" i="1" s="1"/>
  <c r="KT49" i="1"/>
  <c r="KU49" i="1" s="1"/>
  <c r="KV49" i="1" s="1"/>
  <c r="LO49" i="1"/>
  <c r="AAX49" i="1" s="1"/>
  <c r="ADG49" i="1" s="1"/>
  <c r="LW49" i="1"/>
  <c r="MP49" i="1"/>
  <c r="MQ49" i="1" s="1"/>
  <c r="MU49" i="1"/>
  <c r="MX49" i="1"/>
  <c r="NB49" i="1"/>
  <c r="NE49" i="1"/>
  <c r="NJ49" i="1"/>
  <c r="NM49" i="1"/>
  <c r="NQ49" i="1"/>
  <c r="NT49" i="1"/>
  <c r="OA49" i="1"/>
  <c r="OC49" i="1"/>
  <c r="OU49" i="1"/>
  <c r="OY49" i="1" s="1"/>
  <c r="PB49" i="1"/>
  <c r="PE49" i="1"/>
  <c r="QL49" i="1"/>
  <c r="QN49" i="1"/>
  <c r="QV49" i="1"/>
  <c r="RY49" i="1"/>
  <c r="SX49" i="1"/>
  <c r="UO49" i="1"/>
  <c r="UQ49" i="1" s="1"/>
  <c r="VB49" i="1"/>
  <c r="WT49" i="1"/>
  <c r="ZO49" i="1"/>
  <c r="J50" i="1"/>
  <c r="Y50" i="1"/>
  <c r="CD50" i="1"/>
  <c r="CF50" i="1"/>
  <c r="CT50" i="1"/>
  <c r="CU50" i="1" s="1"/>
  <c r="CV50" i="1"/>
  <c r="CW50" i="1" s="1"/>
  <c r="CY50" i="1" s="1"/>
  <c r="CX50" i="1"/>
  <c r="DC50" i="1"/>
  <c r="DD50" i="1" s="1"/>
  <c r="DH50" i="1"/>
  <c r="DY50" i="1"/>
  <c r="DZ50" i="1" s="1"/>
  <c r="EA50" i="1" s="1"/>
  <c r="EC50" i="1" s="1"/>
  <c r="EM50" i="1"/>
  <c r="EN50" i="1" s="1"/>
  <c r="EQ50" i="1"/>
  <c r="FQ50" i="1"/>
  <c r="FR50" i="1" s="1"/>
  <c r="FW50" i="1"/>
  <c r="GK50" i="1"/>
  <c r="HN50" i="1"/>
  <c r="IZ50" i="1"/>
  <c r="JA50" i="1" s="1"/>
  <c r="JC50" i="1" s="1"/>
  <c r="JB50" i="1"/>
  <c r="KM50" i="1"/>
  <c r="KN50" i="1" s="1"/>
  <c r="KT50" i="1"/>
  <c r="KU50" i="1" s="1"/>
  <c r="KV50" i="1" s="1"/>
  <c r="KX50" i="1" s="1"/>
  <c r="LO50" i="1"/>
  <c r="AAX50" i="1" s="1"/>
  <c r="ADG50" i="1" s="1"/>
  <c r="LW50" i="1"/>
  <c r="MU50" i="1"/>
  <c r="MX50" i="1"/>
  <c r="NB50" i="1"/>
  <c r="NE50" i="1"/>
  <c r="NJ50" i="1"/>
  <c r="NM50" i="1"/>
  <c r="NQ50" i="1"/>
  <c r="NT50" i="1"/>
  <c r="NX50" i="1"/>
  <c r="OA50" i="1"/>
  <c r="OE50" i="1"/>
  <c r="OJ50" i="1"/>
  <c r="OO50" i="1"/>
  <c r="OR50" i="1" s="1"/>
  <c r="RU50" i="1"/>
  <c r="SZ50" i="1"/>
  <c r="TM50" i="1"/>
  <c r="VA51" i="1"/>
  <c r="VA53" i="1"/>
  <c r="WT50" i="1"/>
  <c r="VB50" i="1"/>
  <c r="UO50" i="1"/>
  <c r="UQ50" i="1" s="1"/>
  <c r="SX50" i="1"/>
  <c r="ABS50" i="1"/>
  <c r="ZO50" i="1"/>
  <c r="BO51" i="1"/>
  <c r="BP51" i="1" s="1"/>
  <c r="ZB51" i="1"/>
  <c r="BS51" i="1"/>
  <c r="BT51" i="1" s="1"/>
  <c r="BK51" i="1"/>
  <c r="BI51" i="1"/>
  <c r="GT51" i="1"/>
  <c r="AAT51" i="1"/>
  <c r="ADV51" i="1"/>
  <c r="ADF51" i="1"/>
  <c r="ZI51" i="1"/>
  <c r="ABJ51" i="1"/>
  <c r="AE52" i="1"/>
  <c r="VK52" i="1"/>
  <c r="AD52" i="1"/>
  <c r="VI52" i="1"/>
  <c r="MO52" i="1"/>
  <c r="BO53" i="1"/>
  <c r="BP53" i="1" s="1"/>
  <c r="ZB53" i="1"/>
  <c r="BS53" i="1"/>
  <c r="BT53" i="1" s="1"/>
  <c r="BK53" i="1"/>
  <c r="BI53" i="1"/>
  <c r="BJ53" i="1" s="1"/>
  <c r="DO53" i="1"/>
  <c r="GL53" i="1"/>
  <c r="GT53" i="1"/>
  <c r="ADV53" i="1"/>
  <c r="ADF53" i="1"/>
  <c r="AAT53" i="1"/>
  <c r="ZI53" i="1"/>
  <c r="ABJ53" i="1"/>
  <c r="ZB54" i="1"/>
  <c r="BO54" i="1"/>
  <c r="BP54" i="1" s="1"/>
  <c r="BS54" i="1"/>
  <c r="BT54" i="1" s="1"/>
  <c r="BK54" i="1"/>
  <c r="BI54" i="1"/>
  <c r="VI54" i="1"/>
  <c r="MO54" i="1"/>
  <c r="ACR46" i="1"/>
  <c r="EA47" i="1"/>
  <c r="GB47" i="1"/>
  <c r="GC47" i="1" s="1"/>
  <c r="IQ47" i="1"/>
  <c r="IR47" i="1" s="1"/>
  <c r="MO47" i="1"/>
  <c r="NC47" i="1"/>
  <c r="NR47" i="1"/>
  <c r="QQ47" i="1"/>
  <c r="QS47" i="1" s="1"/>
  <c r="SF47" i="1"/>
  <c r="SJ47" i="1" s="1"/>
  <c r="SO47" i="1"/>
  <c r="UE47" i="1"/>
  <c r="VO47" i="1"/>
  <c r="ACR47" i="1"/>
  <c r="J48" i="1"/>
  <c r="R48" i="1"/>
  <c r="AY48" i="1"/>
  <c r="BF48" i="1"/>
  <c r="BW48" i="1"/>
  <c r="CB48" i="1"/>
  <c r="CI48" i="1"/>
  <c r="CR48" i="1"/>
  <c r="CX48" i="1"/>
  <c r="DC48" i="1"/>
  <c r="DD48" i="1" s="1"/>
  <c r="DH48" i="1"/>
  <c r="DN48" i="1"/>
  <c r="DS48" i="1"/>
  <c r="DT48" i="1" s="1"/>
  <c r="DW48" i="1"/>
  <c r="EB48" i="1"/>
  <c r="EK48" i="1"/>
  <c r="EQ48" i="1"/>
  <c r="EZ48" i="1"/>
  <c r="FF48" i="1"/>
  <c r="FO48" i="1"/>
  <c r="GH48" i="1"/>
  <c r="GI48" i="1" s="1"/>
  <c r="GJ48" i="1" s="1"/>
  <c r="GL48" i="1" s="1"/>
  <c r="HN48" i="1"/>
  <c r="IZ48" i="1"/>
  <c r="JA48" i="1" s="1"/>
  <c r="JC48" i="1" s="1"/>
  <c r="JB48" i="1"/>
  <c r="JL48" i="1"/>
  <c r="KG48" i="1"/>
  <c r="KK48" i="1"/>
  <c r="KT48" i="1"/>
  <c r="KU48" i="1" s="1"/>
  <c r="KV48" i="1" s="1"/>
  <c r="KX48" i="1" s="1"/>
  <c r="LO48" i="1"/>
  <c r="AAX48" i="1" s="1"/>
  <c r="ADG48" i="1" s="1"/>
  <c r="MU48" i="1"/>
  <c r="MX48" i="1"/>
  <c r="NB48" i="1"/>
  <c r="NE48" i="1"/>
  <c r="NJ48" i="1"/>
  <c r="NM48" i="1"/>
  <c r="NQ48" i="1"/>
  <c r="NT48" i="1"/>
  <c r="OA48" i="1"/>
  <c r="OC48" i="1"/>
  <c r="OU48" i="1"/>
  <c r="OY48" i="1" s="1"/>
  <c r="OW48" i="1" s="1"/>
  <c r="PB48" i="1"/>
  <c r="PE48" i="1"/>
  <c r="QL48" i="1"/>
  <c r="QN48" i="1"/>
  <c r="QV48" i="1"/>
  <c r="RU48" i="1"/>
  <c r="SZ48" i="1"/>
  <c r="TM48" i="1"/>
  <c r="UC48" i="1"/>
  <c r="UN48" i="1"/>
  <c r="VM48" i="1"/>
  <c r="O49" i="1"/>
  <c r="R49" i="1"/>
  <c r="AY49" i="1"/>
  <c r="BF49" i="1"/>
  <c r="BW49" i="1"/>
  <c r="CB49" i="1"/>
  <c r="CT49" i="1"/>
  <c r="CU49" i="1" s="1"/>
  <c r="CV49" i="1"/>
  <c r="DC49" i="1"/>
  <c r="DD49" i="1" s="1"/>
  <c r="DH49" i="1"/>
  <c r="DY49" i="1"/>
  <c r="DZ49" i="1" s="1"/>
  <c r="EA49" i="1" s="1"/>
  <c r="EM49" i="1"/>
  <c r="EN49" i="1" s="1"/>
  <c r="FQ49" i="1"/>
  <c r="FR49" i="1" s="1"/>
  <c r="HJ49" i="1"/>
  <c r="HL49" i="1" s="1"/>
  <c r="HK49" i="1" s="1"/>
  <c r="HP49" i="1"/>
  <c r="HR49" i="1" s="1"/>
  <c r="HT49" i="1"/>
  <c r="HU49" i="1" s="1"/>
  <c r="HX49" i="1"/>
  <c r="HZ49" i="1" s="1"/>
  <c r="IJ49" i="1"/>
  <c r="JN49" i="1"/>
  <c r="JO49" i="1" s="1"/>
  <c r="KG49" i="1"/>
  <c r="KK49" i="1"/>
  <c r="KR49" i="1"/>
  <c r="LG49" i="1"/>
  <c r="LQ49" i="1"/>
  <c r="AAZ49" i="1" s="1"/>
  <c r="ADI49" i="1" s="1"/>
  <c r="MZ49" i="1"/>
  <c r="NG49" i="1"/>
  <c r="NO49" i="1"/>
  <c r="NV49" i="1"/>
  <c r="NX49" i="1"/>
  <c r="OE49" i="1"/>
  <c r="OJ49" i="1"/>
  <c r="OL49" i="1"/>
  <c r="OO49" i="1"/>
  <c r="OR49" i="1" s="1"/>
  <c r="OW49" i="1"/>
  <c r="RU49" i="1"/>
  <c r="SZ49" i="1"/>
  <c r="TM49" i="1"/>
  <c r="UC49" i="1"/>
  <c r="UN49" i="1"/>
  <c r="VM49" i="1"/>
  <c r="O50" i="1"/>
  <c r="R50" i="1"/>
  <c r="AY50" i="1"/>
  <c r="BF50" i="1"/>
  <c r="BW50" i="1"/>
  <c r="CB50" i="1"/>
  <c r="CG50" i="1"/>
  <c r="CI50" i="1"/>
  <c r="CR50" i="1"/>
  <c r="DJ50" i="1"/>
  <c r="DK50" i="1" s="1"/>
  <c r="DL50" i="1"/>
  <c r="DM50" i="1" s="1"/>
  <c r="DO50" i="1" s="1"/>
  <c r="DN50" i="1"/>
  <c r="DS50" i="1"/>
  <c r="DT50" i="1" s="1"/>
  <c r="DW50" i="1"/>
  <c r="EB50" i="1"/>
  <c r="FB50" i="1"/>
  <c r="FC50" i="1" s="1"/>
  <c r="FF50" i="1"/>
  <c r="GH50" i="1"/>
  <c r="GI50" i="1" s="1"/>
  <c r="GJ50" i="1" s="1"/>
  <c r="GL50" i="1" s="1"/>
  <c r="ZA50" i="1"/>
  <c r="GW50" i="1"/>
  <c r="GX50" i="1" s="1"/>
  <c r="AAS50" i="1"/>
  <c r="HJ50" i="1"/>
  <c r="HL50" i="1" s="1"/>
  <c r="HK50" i="1" s="1"/>
  <c r="HP50" i="1"/>
  <c r="HR50" i="1" s="1"/>
  <c r="HT50" i="1"/>
  <c r="HU50" i="1" s="1"/>
  <c r="HX50" i="1"/>
  <c r="HZ50" i="1" s="1"/>
  <c r="IJ50" i="1"/>
  <c r="JN50" i="1"/>
  <c r="JO50" i="1" s="1"/>
  <c r="JQ50" i="1" s="1"/>
  <c r="JP50" i="1"/>
  <c r="JW50" i="1"/>
  <c r="KG50" i="1"/>
  <c r="KK50" i="1"/>
  <c r="KR50" i="1"/>
  <c r="KW50" i="1"/>
  <c r="LG50" i="1"/>
  <c r="LQ50" i="1"/>
  <c r="AAZ50" i="1" s="1"/>
  <c r="ADI50" i="1" s="1"/>
  <c r="VH50" i="1"/>
  <c r="VJ50" i="1" s="1"/>
  <c r="MZ50" i="1"/>
  <c r="NG50" i="1"/>
  <c r="NO50" i="1"/>
  <c r="NV50" i="1"/>
  <c r="OC50" i="1"/>
  <c r="OU50" i="1"/>
  <c r="OY50" i="1" s="1"/>
  <c r="OW50" i="1" s="1"/>
  <c r="PB50" i="1"/>
  <c r="PE50" i="1"/>
  <c r="QL50" i="1"/>
  <c r="QN50" i="1"/>
  <c r="QV50" i="1"/>
  <c r="RY50" i="1"/>
  <c r="UN50" i="1"/>
  <c r="VM50" i="1"/>
  <c r="WM50" i="1"/>
  <c r="WN50" i="1" s="1"/>
  <c r="VJ52" i="1"/>
  <c r="WM54" i="1"/>
  <c r="WN54" i="1" s="1"/>
  <c r="VM54" i="1"/>
  <c r="UN54" i="1"/>
  <c r="WT54" i="1"/>
  <c r="VB54" i="1"/>
  <c r="UO54" i="1"/>
  <c r="UQ54" i="1" s="1"/>
  <c r="ABS54" i="1"/>
  <c r="ZO54" i="1"/>
  <c r="JX55" i="1"/>
  <c r="ZB55" i="1"/>
  <c r="BO55" i="1"/>
  <c r="BP55" i="1" s="1"/>
  <c r="BS55" i="1"/>
  <c r="BT55" i="1" s="1"/>
  <c r="BK55" i="1"/>
  <c r="BI55" i="1"/>
  <c r="BJ55" i="1" s="1"/>
  <c r="SB55" i="1"/>
  <c r="UZ55" i="1"/>
  <c r="SI55" i="1"/>
  <c r="YL55" i="1"/>
  <c r="XW55" i="1"/>
  <c r="IL55" i="1"/>
  <c r="ZM55" i="1"/>
  <c r="IK55" i="1"/>
  <c r="JC55" i="1"/>
  <c r="ABU55" i="1"/>
  <c r="ZP55" i="1"/>
  <c r="OX55" i="1"/>
  <c r="AE56" i="1"/>
  <c r="VK56" i="1"/>
  <c r="AD56" i="1"/>
  <c r="GT56" i="1"/>
  <c r="AAT56" i="1"/>
  <c r="ADV56" i="1"/>
  <c r="ADF56" i="1"/>
  <c r="ZI56" i="1"/>
  <c r="ABJ56" i="1"/>
  <c r="O51" i="1"/>
  <c r="R51" i="1"/>
  <c r="AC51" i="1"/>
  <c r="AY51" i="1"/>
  <c r="BF51" i="1"/>
  <c r="BW51" i="1"/>
  <c r="CB51" i="1"/>
  <c r="CG51" i="1"/>
  <c r="CR51" i="1"/>
  <c r="DJ51" i="1"/>
  <c r="DK51" i="1" s="1"/>
  <c r="DL51" i="1"/>
  <c r="DM51" i="1" s="1"/>
  <c r="DS51" i="1"/>
  <c r="DT51" i="1" s="1"/>
  <c r="DW51" i="1"/>
  <c r="FB51" i="1"/>
  <c r="FC51" i="1" s="1"/>
  <c r="GH51" i="1"/>
  <c r="GI51" i="1" s="1"/>
  <c r="GJ51" i="1" s="1"/>
  <c r="HN51" i="1"/>
  <c r="IZ51" i="1"/>
  <c r="JA51" i="1" s="1"/>
  <c r="KM51" i="1"/>
  <c r="KN51" i="1" s="1"/>
  <c r="KT51" i="1"/>
  <c r="KU51" i="1" s="1"/>
  <c r="KV51" i="1" s="1"/>
  <c r="LO51" i="1"/>
  <c r="AAX51" i="1" s="1"/>
  <c r="ADG51" i="1" s="1"/>
  <c r="MU51" i="1"/>
  <c r="MX51" i="1"/>
  <c r="NB51" i="1"/>
  <c r="NE51" i="1"/>
  <c r="NJ51" i="1"/>
  <c r="NM51" i="1"/>
  <c r="NQ51" i="1"/>
  <c r="NT51" i="1"/>
  <c r="NX51" i="1"/>
  <c r="OE51" i="1"/>
  <c r="OJ51" i="1"/>
  <c r="OL51" i="1"/>
  <c r="OO51" i="1"/>
  <c r="OR51" i="1" s="1"/>
  <c r="RU51" i="1"/>
  <c r="SZ51" i="1"/>
  <c r="TM51" i="1"/>
  <c r="UC51" i="1"/>
  <c r="UN51" i="1"/>
  <c r="VI51" i="1"/>
  <c r="VM51" i="1"/>
  <c r="WM51" i="1"/>
  <c r="WN51" i="1" s="1"/>
  <c r="BO52" i="1"/>
  <c r="BP52" i="1" s="1"/>
  <c r="CJ52" i="1"/>
  <c r="CY52" i="1"/>
  <c r="DO52" i="1"/>
  <c r="ER52" i="1"/>
  <c r="FG52" i="1"/>
  <c r="GB52" i="1"/>
  <c r="GC52" i="1" s="1"/>
  <c r="GF52" i="1"/>
  <c r="HJ52" i="1"/>
  <c r="HL52" i="1" s="1"/>
  <c r="HK52" i="1" s="1"/>
  <c r="HP52" i="1"/>
  <c r="HR52" i="1" s="1"/>
  <c r="HT52" i="1"/>
  <c r="HU52" i="1" s="1"/>
  <c r="HX52" i="1"/>
  <c r="HZ52" i="1" s="1"/>
  <c r="IJ52" i="1"/>
  <c r="IQ52" i="1"/>
  <c r="IR52" i="1" s="1"/>
  <c r="IX52" i="1"/>
  <c r="JN52" i="1"/>
  <c r="JO52" i="1" s="1"/>
  <c r="JU52" i="1"/>
  <c r="JV52" i="1" s="1"/>
  <c r="KB52" i="1"/>
  <c r="KC52" i="1" s="1"/>
  <c r="KG52" i="1"/>
  <c r="KK52" i="1"/>
  <c r="KR52" i="1"/>
  <c r="LG52" i="1"/>
  <c r="LQ52" i="1"/>
  <c r="AAZ52" i="1" s="1"/>
  <c r="ADI52" i="1" s="1"/>
  <c r="MZ52" i="1"/>
  <c r="NG52" i="1"/>
  <c r="NO52" i="1"/>
  <c r="NV52" i="1"/>
  <c r="OC52" i="1"/>
  <c r="OU52" i="1"/>
  <c r="OY52" i="1" s="1"/>
  <c r="PB52" i="1"/>
  <c r="PE52" i="1"/>
  <c r="QL52" i="1"/>
  <c r="QN52" i="1"/>
  <c r="QV52" i="1"/>
  <c r="RU52" i="1"/>
  <c r="SZ52" i="1"/>
  <c r="TM52" i="1"/>
  <c r="UC52" i="1"/>
  <c r="UN52" i="1"/>
  <c r="VA52" i="1"/>
  <c r="VM52" i="1"/>
  <c r="WM52" i="1"/>
  <c r="WN52" i="1" s="1"/>
  <c r="ZB52" i="1"/>
  <c r="AAS52" i="1"/>
  <c r="AC53" i="1"/>
  <c r="CN53" i="1"/>
  <c r="CO53" i="1" s="1"/>
  <c r="EG53" i="1"/>
  <c r="EK53" i="1"/>
  <c r="FD53" i="1"/>
  <c r="FE53" i="1" s="1"/>
  <c r="FK53" i="1"/>
  <c r="FL53" i="1" s="1"/>
  <c r="ABW53" i="1" s="1"/>
  <c r="FO53" i="1"/>
  <c r="HN53" i="1"/>
  <c r="IZ53" i="1"/>
  <c r="JA53" i="1" s="1"/>
  <c r="JG53" i="1"/>
  <c r="JH53" i="1" s="1"/>
  <c r="JL53" i="1"/>
  <c r="KM53" i="1"/>
  <c r="KN53" i="1" s="1"/>
  <c r="KT53" i="1"/>
  <c r="KU53" i="1" s="1"/>
  <c r="KV53" i="1" s="1"/>
  <c r="LO53" i="1"/>
  <c r="AAX53" i="1" s="1"/>
  <c r="ADG53" i="1" s="1"/>
  <c r="MU53" i="1"/>
  <c r="MX53" i="1"/>
  <c r="NB53" i="1"/>
  <c r="NE53" i="1"/>
  <c r="NJ53" i="1"/>
  <c r="NM53" i="1"/>
  <c r="NQ53" i="1"/>
  <c r="NT53" i="1"/>
  <c r="NX53" i="1"/>
  <c r="OA53" i="1"/>
  <c r="OE53" i="1"/>
  <c r="OJ53" i="1"/>
  <c r="OL53" i="1"/>
  <c r="OO53" i="1"/>
  <c r="OR53" i="1" s="1"/>
  <c r="RU53" i="1"/>
  <c r="SZ53" i="1"/>
  <c r="TM53" i="1"/>
  <c r="UC53" i="1"/>
  <c r="UN53" i="1"/>
  <c r="VI53" i="1"/>
  <c r="VM53" i="1"/>
  <c r="WM53" i="1"/>
  <c r="WN53" i="1" s="1"/>
  <c r="O54" i="1"/>
  <c r="R54" i="1"/>
  <c r="AC54" i="1"/>
  <c r="AY54" i="1"/>
  <c r="BF54" i="1"/>
  <c r="BW54" i="1"/>
  <c r="CB54" i="1"/>
  <c r="CT54" i="1"/>
  <c r="CU54" i="1" s="1"/>
  <c r="CV54" i="1"/>
  <c r="DC54" i="1"/>
  <c r="DD54" i="1" s="1"/>
  <c r="DH54" i="1"/>
  <c r="DY54" i="1"/>
  <c r="DZ54" i="1" s="1"/>
  <c r="EA54" i="1" s="1"/>
  <c r="EM54" i="1"/>
  <c r="EN54" i="1" s="1"/>
  <c r="FQ54" i="1"/>
  <c r="FR54" i="1" s="1"/>
  <c r="VA54" i="1"/>
  <c r="AAS54" i="1"/>
  <c r="HJ54" i="1"/>
  <c r="HL54" i="1" s="1"/>
  <c r="HK54" i="1" s="1"/>
  <c r="HP54" i="1"/>
  <c r="HR54" i="1" s="1"/>
  <c r="HT54" i="1"/>
  <c r="HU54" i="1" s="1"/>
  <c r="HX54" i="1"/>
  <c r="HZ54" i="1" s="1"/>
  <c r="IJ54" i="1"/>
  <c r="JN54" i="1"/>
  <c r="JO54" i="1" s="1"/>
  <c r="KG54" i="1"/>
  <c r="KK54" i="1"/>
  <c r="KR54" i="1"/>
  <c r="LG54" i="1"/>
  <c r="LQ54" i="1"/>
  <c r="AAZ54" i="1" s="1"/>
  <c r="ADI54" i="1" s="1"/>
  <c r="VH54" i="1"/>
  <c r="VJ54" i="1" s="1"/>
  <c r="MZ54" i="1"/>
  <c r="NG54" i="1"/>
  <c r="NO54" i="1"/>
  <c r="NV54" i="1"/>
  <c r="OC54" i="1"/>
  <c r="OU54" i="1"/>
  <c r="OY54" i="1" s="1"/>
  <c r="PB54" i="1"/>
  <c r="PE54" i="1"/>
  <c r="QV54" i="1"/>
  <c r="RY54" i="1"/>
  <c r="SX54" i="1"/>
  <c r="UA54" i="1"/>
  <c r="SC55" i="1"/>
  <c r="SH55" i="1"/>
  <c r="GL55" i="1"/>
  <c r="GT55" i="1"/>
  <c r="ADV55" i="1"/>
  <c r="ADF55" i="1"/>
  <c r="ADE55" i="1" s="1"/>
  <c r="AAT55" i="1"/>
  <c r="IC55" i="1"/>
  <c r="ID55" i="1"/>
  <c r="IE55" i="1" s="1"/>
  <c r="KX55" i="1"/>
  <c r="VH55" i="1"/>
  <c r="VJ55" i="1" s="1"/>
  <c r="MP55" i="1"/>
  <c r="MQ55" i="1" s="1"/>
  <c r="LW55" i="1"/>
  <c r="VC55" i="1"/>
  <c r="XX55" i="1" s="1"/>
  <c r="NY55" i="1"/>
  <c r="VH56" i="1"/>
  <c r="MP56" i="1"/>
  <c r="MQ56" i="1" s="1"/>
  <c r="LW56" i="1"/>
  <c r="J51" i="1"/>
  <c r="CD51" i="1"/>
  <c r="CF51" i="1"/>
  <c r="CT51" i="1"/>
  <c r="CU51" i="1" s="1"/>
  <c r="CV51" i="1"/>
  <c r="CW51" i="1" s="1"/>
  <c r="DC51" i="1"/>
  <c r="DD51" i="1" s="1"/>
  <c r="DH51" i="1"/>
  <c r="DY51" i="1"/>
  <c r="DZ51" i="1" s="1"/>
  <c r="EA51" i="1" s="1"/>
  <c r="EM51" i="1"/>
  <c r="EN51" i="1" s="1"/>
  <c r="FQ51" i="1"/>
  <c r="FR51" i="1" s="1"/>
  <c r="GW51" i="1"/>
  <c r="GX51" i="1" s="1"/>
  <c r="HJ51" i="1"/>
  <c r="HL51" i="1" s="1"/>
  <c r="HK51" i="1" s="1"/>
  <c r="HP51" i="1"/>
  <c r="HR51" i="1" s="1"/>
  <c r="HT51" i="1"/>
  <c r="HU51" i="1" s="1"/>
  <c r="HX51" i="1"/>
  <c r="HZ51" i="1" s="1"/>
  <c r="IJ51" i="1"/>
  <c r="JN51" i="1"/>
  <c r="JO51" i="1" s="1"/>
  <c r="KG51" i="1"/>
  <c r="KH51" i="1" s="1"/>
  <c r="KK51" i="1"/>
  <c r="KR51" i="1"/>
  <c r="LG51" i="1"/>
  <c r="LQ51" i="1"/>
  <c r="AAZ51" i="1" s="1"/>
  <c r="ADI51" i="1" s="1"/>
  <c r="MZ51" i="1"/>
  <c r="NG51" i="1"/>
  <c r="NO51" i="1"/>
  <c r="NV51" i="1"/>
  <c r="OA51" i="1"/>
  <c r="OC51" i="1"/>
  <c r="OU51" i="1"/>
  <c r="OY51" i="1" s="1"/>
  <c r="OW51" i="1" s="1"/>
  <c r="PB51" i="1"/>
  <c r="PE51" i="1"/>
  <c r="QL51" i="1"/>
  <c r="QN51" i="1"/>
  <c r="QV51" i="1"/>
  <c r="RY51" i="1"/>
  <c r="SX51" i="1"/>
  <c r="UO51" i="1"/>
  <c r="UQ51" i="1" s="1"/>
  <c r="VB51" i="1"/>
  <c r="ZO51" i="1"/>
  <c r="O52" i="1"/>
  <c r="AY52" i="1"/>
  <c r="BF52" i="1"/>
  <c r="BI52" i="1"/>
  <c r="BJ52" i="1" s="1"/>
  <c r="BK52" i="1"/>
  <c r="BS52" i="1"/>
  <c r="BT52" i="1" s="1"/>
  <c r="BW52" i="1"/>
  <c r="CB52" i="1"/>
  <c r="CR52" i="1"/>
  <c r="DC52" i="1"/>
  <c r="DD52" i="1" s="1"/>
  <c r="DH52" i="1"/>
  <c r="DS52" i="1"/>
  <c r="DT52" i="1" s="1"/>
  <c r="DW52" i="1"/>
  <c r="EG52" i="1"/>
  <c r="EK52" i="1"/>
  <c r="EZ52" i="1"/>
  <c r="FK52" i="1"/>
  <c r="FL52" i="1" s="1"/>
  <c r="ABW52" i="1" s="1"/>
  <c r="FO52" i="1"/>
  <c r="GH52" i="1"/>
  <c r="GI52" i="1" s="1"/>
  <c r="GJ52" i="1" s="1"/>
  <c r="GS52" i="1"/>
  <c r="HN52" i="1"/>
  <c r="IZ52" i="1"/>
  <c r="JA52" i="1" s="1"/>
  <c r="JG52" i="1"/>
  <c r="JH52" i="1" s="1"/>
  <c r="KM52" i="1"/>
  <c r="KN52" i="1" s="1"/>
  <c r="KT52" i="1"/>
  <c r="KU52" i="1" s="1"/>
  <c r="KV52" i="1" s="1"/>
  <c r="LO52" i="1"/>
  <c r="AAX52" i="1" s="1"/>
  <c r="ADG52" i="1" s="1"/>
  <c r="LW52" i="1"/>
  <c r="MP52" i="1"/>
  <c r="MQ52" i="1" s="1"/>
  <c r="MU52" i="1"/>
  <c r="MX52" i="1"/>
  <c r="NB52" i="1"/>
  <c r="NE52" i="1"/>
  <c r="NJ52" i="1"/>
  <c r="NM52" i="1"/>
  <c r="NQ52" i="1"/>
  <c r="NT52" i="1"/>
  <c r="NX52" i="1"/>
  <c r="OA52" i="1"/>
  <c r="OE52" i="1"/>
  <c r="OJ52" i="1"/>
  <c r="OL52" i="1"/>
  <c r="OO52" i="1"/>
  <c r="OR52" i="1" s="1"/>
  <c r="OW52" i="1"/>
  <c r="RY52" i="1"/>
  <c r="SX52" i="1"/>
  <c r="UO52" i="1"/>
  <c r="UQ52" i="1" s="1"/>
  <c r="VB52" i="1"/>
  <c r="ZO52" i="1"/>
  <c r="O53" i="1"/>
  <c r="CD53" i="1"/>
  <c r="CF53" i="1"/>
  <c r="CH53" i="1"/>
  <c r="CT53" i="1"/>
  <c r="CU53" i="1" s="1"/>
  <c r="CV53" i="1"/>
  <c r="CW53" i="1" s="1"/>
  <c r="DC53" i="1"/>
  <c r="DD53" i="1" s="1"/>
  <c r="DH53" i="1"/>
  <c r="DY53" i="1"/>
  <c r="DZ53" i="1" s="1"/>
  <c r="EA53" i="1" s="1"/>
  <c r="EM53" i="1"/>
  <c r="EN53" i="1" s="1"/>
  <c r="EO53" i="1"/>
  <c r="EP53" i="1" s="1"/>
  <c r="EZ53" i="1"/>
  <c r="FQ53" i="1"/>
  <c r="FR53" i="1" s="1"/>
  <c r="FS53" i="1"/>
  <c r="FT53" i="1" s="1"/>
  <c r="FU53" i="1"/>
  <c r="FV53" i="1" s="1"/>
  <c r="GB53" i="1"/>
  <c r="GC53" i="1" s="1"/>
  <c r="GF53" i="1"/>
  <c r="ABN53" i="1" s="1"/>
  <c r="GW53" i="1"/>
  <c r="GX53" i="1" s="1"/>
  <c r="HJ53" i="1"/>
  <c r="HL53" i="1" s="1"/>
  <c r="HK53" i="1" s="1"/>
  <c r="HP53" i="1"/>
  <c r="HR53" i="1" s="1"/>
  <c r="HT53" i="1"/>
  <c r="HU53" i="1" s="1"/>
  <c r="HX53" i="1"/>
  <c r="HZ53" i="1" s="1"/>
  <c r="IJ53" i="1"/>
  <c r="IQ53" i="1"/>
  <c r="IR53" i="1" s="1"/>
  <c r="IX53" i="1"/>
  <c r="JN53" i="1"/>
  <c r="JO53" i="1" s="1"/>
  <c r="JU53" i="1"/>
  <c r="JV53" i="1" s="1"/>
  <c r="KG53" i="1"/>
  <c r="KH53" i="1" s="1"/>
  <c r="KK53" i="1"/>
  <c r="KR53" i="1"/>
  <c r="LG53" i="1"/>
  <c r="LQ53" i="1"/>
  <c r="AAZ53" i="1" s="1"/>
  <c r="ADI53" i="1" s="1"/>
  <c r="MZ53" i="1"/>
  <c r="NG53" i="1"/>
  <c r="NO53" i="1"/>
  <c r="NV53" i="1"/>
  <c r="OC53" i="1"/>
  <c r="OU53" i="1"/>
  <c r="OY53" i="1" s="1"/>
  <c r="OW53" i="1" s="1"/>
  <c r="PB53" i="1"/>
  <c r="PE53" i="1"/>
  <c r="QL53" i="1"/>
  <c r="QN53" i="1"/>
  <c r="QV53" i="1"/>
  <c r="RY53" i="1"/>
  <c r="SX53" i="1"/>
  <c r="UO53" i="1"/>
  <c r="UQ53" i="1" s="1"/>
  <c r="VB53" i="1"/>
  <c r="ZO53" i="1"/>
  <c r="J54" i="1"/>
  <c r="CD54" i="1"/>
  <c r="CG54" i="1"/>
  <c r="CR54" i="1"/>
  <c r="DJ54" i="1"/>
  <c r="DK54" i="1" s="1"/>
  <c r="DL54" i="1"/>
  <c r="DM54" i="1" s="1"/>
  <c r="DS54" i="1"/>
  <c r="DT54" i="1" s="1"/>
  <c r="DW54" i="1"/>
  <c r="FB54" i="1"/>
  <c r="FC54" i="1" s="1"/>
  <c r="GH54" i="1"/>
  <c r="GI54" i="1" s="1"/>
  <c r="GJ54" i="1" s="1"/>
  <c r="GS54" i="1"/>
  <c r="ZA54" i="1"/>
  <c r="HA54" i="1"/>
  <c r="HB54" i="1" s="1"/>
  <c r="HN54" i="1"/>
  <c r="IZ54" i="1"/>
  <c r="JA54" i="1" s="1"/>
  <c r="KM54" i="1"/>
  <c r="KN54" i="1" s="1"/>
  <c r="KT54" i="1"/>
  <c r="KU54" i="1" s="1"/>
  <c r="KV54" i="1" s="1"/>
  <c r="LO54" i="1"/>
  <c r="AAX54" i="1" s="1"/>
  <c r="ADG54" i="1" s="1"/>
  <c r="LW54" i="1"/>
  <c r="MP54" i="1"/>
  <c r="MQ54" i="1" s="1"/>
  <c r="MU54" i="1"/>
  <c r="MX54" i="1"/>
  <c r="NB54" i="1"/>
  <c r="NE54" i="1"/>
  <c r="NJ54" i="1"/>
  <c r="NM54" i="1"/>
  <c r="NQ54" i="1"/>
  <c r="NT54" i="1"/>
  <c r="NX54" i="1"/>
  <c r="OA54" i="1"/>
  <c r="OE54" i="1"/>
  <c r="OJ54" i="1"/>
  <c r="OL54" i="1"/>
  <c r="OO54" i="1"/>
  <c r="OR54" i="1" s="1"/>
  <c r="OW54" i="1"/>
  <c r="QM54" i="1"/>
  <c r="QK54" i="1" s="1"/>
  <c r="QL54" i="1" s="1"/>
  <c r="RU54" i="1"/>
  <c r="SZ54" i="1"/>
  <c r="TM54" i="1"/>
  <c r="UC54" i="1"/>
  <c r="RZ55" i="1"/>
  <c r="SA55" i="1" s="1"/>
  <c r="VA56" i="1"/>
  <c r="AE57" i="1"/>
  <c r="VK57" i="1"/>
  <c r="AD57" i="1"/>
  <c r="BS57" i="1"/>
  <c r="BT57" i="1" s="1"/>
  <c r="BK57" i="1"/>
  <c r="BI57" i="1"/>
  <c r="ZB57" i="1"/>
  <c r="BO57" i="1"/>
  <c r="BP57" i="1" s="1"/>
  <c r="YL57" i="1"/>
  <c r="XW57" i="1"/>
  <c r="ZB58" i="1"/>
  <c r="BO58" i="1"/>
  <c r="BP58" i="1" s="1"/>
  <c r="BS58" i="1"/>
  <c r="BT58" i="1" s="1"/>
  <c r="BK58" i="1"/>
  <c r="BI58" i="1"/>
  <c r="GT58" i="1"/>
  <c r="ADV58" i="1"/>
  <c r="ADF58" i="1"/>
  <c r="AAT58" i="1"/>
  <c r="AEB54" i="1"/>
  <c r="AC55" i="1"/>
  <c r="CN55" i="1"/>
  <c r="CO55" i="1" s="1"/>
  <c r="EG55" i="1"/>
  <c r="FK55" i="1"/>
  <c r="FL55" i="1" s="1"/>
  <c r="ABW55" i="1" s="1"/>
  <c r="FX55" i="1"/>
  <c r="JG55" i="1"/>
  <c r="JH55" i="1" s="1"/>
  <c r="JQ55" i="1"/>
  <c r="SE55" i="1"/>
  <c r="TN55" i="1"/>
  <c r="UF55" i="1"/>
  <c r="UG55" i="1" s="1"/>
  <c r="VD55" i="1"/>
  <c r="YB55" i="1" s="1"/>
  <c r="VF55" i="1"/>
  <c r="VN55" i="1"/>
  <c r="WC55" i="1" s="1"/>
  <c r="YR55" i="1" s="1"/>
  <c r="YD55" i="1"/>
  <c r="ZA55" i="1"/>
  <c r="ZC55" i="1"/>
  <c r="ZE55" i="1"/>
  <c r="ZG55" i="1"/>
  <c r="ZO55" i="1"/>
  <c r="ABA55" i="1"/>
  <c r="ADM55" i="1" s="1"/>
  <c r="ABD55" i="1"/>
  <c r="ABS55" i="1"/>
  <c r="AEB55" i="1"/>
  <c r="BO56" i="1"/>
  <c r="BP56" i="1" s="1"/>
  <c r="CD56" i="1"/>
  <c r="CG56" i="1"/>
  <c r="CR56" i="1"/>
  <c r="DJ56" i="1"/>
  <c r="DK56" i="1" s="1"/>
  <c r="DL56" i="1"/>
  <c r="DM56" i="1" s="1"/>
  <c r="DS56" i="1"/>
  <c r="DT56" i="1" s="1"/>
  <c r="DW56" i="1"/>
  <c r="EG56" i="1"/>
  <c r="EK56" i="1"/>
  <c r="FB56" i="1"/>
  <c r="FC56" i="1" s="1"/>
  <c r="FD56" i="1"/>
  <c r="FE56" i="1" s="1"/>
  <c r="FK56" i="1"/>
  <c r="FL56" i="1" s="1"/>
  <c r="ABW56" i="1" s="1"/>
  <c r="FO56" i="1"/>
  <c r="GH56" i="1"/>
  <c r="GI56" i="1" s="1"/>
  <c r="GJ56" i="1" s="1"/>
  <c r="HN56" i="1"/>
  <c r="IZ56" i="1"/>
  <c r="JA56" i="1" s="1"/>
  <c r="JG56" i="1"/>
  <c r="JH56" i="1" s="1"/>
  <c r="JL56" i="1"/>
  <c r="KM56" i="1"/>
  <c r="KN56" i="1" s="1"/>
  <c r="KT56" i="1"/>
  <c r="KU56" i="1" s="1"/>
  <c r="KV56" i="1" s="1"/>
  <c r="LO56" i="1"/>
  <c r="AAX56" i="1" s="1"/>
  <c r="ADG56" i="1" s="1"/>
  <c r="MU56" i="1"/>
  <c r="MX56" i="1"/>
  <c r="NB56" i="1"/>
  <c r="NE56" i="1"/>
  <c r="NJ56" i="1"/>
  <c r="NM56" i="1"/>
  <c r="NQ56" i="1"/>
  <c r="NT56" i="1"/>
  <c r="NX56" i="1"/>
  <c r="OE56" i="1"/>
  <c r="OJ56" i="1"/>
  <c r="OL56" i="1"/>
  <c r="OO56" i="1"/>
  <c r="OR56" i="1" s="1"/>
  <c r="RU56" i="1"/>
  <c r="SZ56" i="1"/>
  <c r="TM56" i="1"/>
  <c r="UC56" i="1"/>
  <c r="UN56" i="1"/>
  <c r="VI56" i="1"/>
  <c r="VM56" i="1"/>
  <c r="WM56" i="1"/>
  <c r="WN56" i="1" s="1"/>
  <c r="ZB56" i="1"/>
  <c r="JL57" i="1"/>
  <c r="JG57" i="1"/>
  <c r="JH57" i="1" s="1"/>
  <c r="FO57" i="1"/>
  <c r="FK57" i="1"/>
  <c r="FL57" i="1" s="1"/>
  <c r="ABW57" i="1" s="1"/>
  <c r="FD57" i="1"/>
  <c r="FE57" i="1" s="1"/>
  <c r="EK57" i="1"/>
  <c r="EG57" i="1"/>
  <c r="KB57" i="1"/>
  <c r="KC57" i="1" s="1"/>
  <c r="JU57" i="1"/>
  <c r="JV57" i="1" s="1"/>
  <c r="IX57" i="1"/>
  <c r="IQ57" i="1"/>
  <c r="IR57" i="1" s="1"/>
  <c r="GF57" i="1"/>
  <c r="ABN57" i="1" s="1"/>
  <c r="GB57" i="1"/>
  <c r="GC57" i="1" s="1"/>
  <c r="FU57" i="1"/>
  <c r="FV57" i="1" s="1"/>
  <c r="FS57" i="1"/>
  <c r="FT57" i="1" s="1"/>
  <c r="EZ57" i="1"/>
  <c r="EO57" i="1"/>
  <c r="EP57" i="1" s="1"/>
  <c r="GT57" i="1"/>
  <c r="ADV57" i="1"/>
  <c r="ADF57" i="1"/>
  <c r="AAT57" i="1"/>
  <c r="VI57" i="1"/>
  <c r="MO57" i="1"/>
  <c r="YL58" i="1"/>
  <c r="XW58" i="1"/>
  <c r="VH58" i="1"/>
  <c r="VJ58" i="1" s="1"/>
  <c r="MP58" i="1"/>
  <c r="MQ58" i="1" s="1"/>
  <c r="LW58" i="1"/>
  <c r="EA55" i="1"/>
  <c r="SN55" i="1" s="1"/>
  <c r="GB55" i="1"/>
  <c r="GC55" i="1" s="1"/>
  <c r="IQ55" i="1"/>
  <c r="IR55" i="1" s="1"/>
  <c r="MO55" i="1"/>
  <c r="NC55" i="1"/>
  <c r="NR55" i="1"/>
  <c r="SF55" i="1"/>
  <c r="SJ55" i="1" s="1"/>
  <c r="UE55" i="1"/>
  <c r="VO55" i="1"/>
  <c r="O56" i="1"/>
  <c r="AY56" i="1"/>
  <c r="BF56" i="1"/>
  <c r="BI56" i="1"/>
  <c r="BJ56" i="1" s="1"/>
  <c r="BK56" i="1"/>
  <c r="BS56" i="1"/>
  <c r="BT56" i="1" s="1"/>
  <c r="BW56" i="1"/>
  <c r="CB56" i="1"/>
  <c r="CT56" i="1"/>
  <c r="CU56" i="1" s="1"/>
  <c r="CV56" i="1"/>
  <c r="DC56" i="1"/>
  <c r="DD56" i="1" s="1"/>
  <c r="DH56" i="1"/>
  <c r="DY56" i="1"/>
  <c r="DZ56" i="1" s="1"/>
  <c r="EA56" i="1" s="1"/>
  <c r="EM56" i="1"/>
  <c r="EN56" i="1" s="1"/>
  <c r="EO56" i="1"/>
  <c r="EP56" i="1" s="1"/>
  <c r="EZ56" i="1"/>
  <c r="FQ56" i="1"/>
  <c r="FR56" i="1" s="1"/>
  <c r="FS56" i="1"/>
  <c r="FT56" i="1" s="1"/>
  <c r="FU56" i="1"/>
  <c r="FV56" i="1" s="1"/>
  <c r="GB56" i="1"/>
  <c r="GC56" i="1" s="1"/>
  <c r="GF56" i="1"/>
  <c r="ABN56" i="1" s="1"/>
  <c r="GW56" i="1"/>
  <c r="GX56" i="1" s="1"/>
  <c r="HJ56" i="1"/>
  <c r="HL56" i="1" s="1"/>
  <c r="HK56" i="1" s="1"/>
  <c r="HP56" i="1"/>
  <c r="HR56" i="1" s="1"/>
  <c r="HT56" i="1"/>
  <c r="HU56" i="1" s="1"/>
  <c r="HX56" i="1"/>
  <c r="HZ56" i="1" s="1"/>
  <c r="IJ56" i="1"/>
  <c r="IQ56" i="1"/>
  <c r="IR56" i="1" s="1"/>
  <c r="IX56" i="1"/>
  <c r="JN56" i="1"/>
  <c r="JO56" i="1" s="1"/>
  <c r="JU56" i="1"/>
  <c r="JV56" i="1" s="1"/>
  <c r="KG56" i="1"/>
  <c r="KK56" i="1"/>
  <c r="KR56" i="1"/>
  <c r="LG56" i="1"/>
  <c r="LQ56" i="1"/>
  <c r="AAZ56" i="1" s="1"/>
  <c r="ADI56" i="1" s="1"/>
  <c r="MZ56" i="1"/>
  <c r="NG56" i="1"/>
  <c r="NO56" i="1"/>
  <c r="NV56" i="1"/>
  <c r="OA56" i="1"/>
  <c r="OC56" i="1"/>
  <c r="OU56" i="1"/>
  <c r="OY56" i="1" s="1"/>
  <c r="OW56" i="1" s="1"/>
  <c r="PB56" i="1"/>
  <c r="PE56" i="1"/>
  <c r="QL56" i="1"/>
  <c r="QN56" i="1"/>
  <c r="QV56" i="1"/>
  <c r="RY56" i="1"/>
  <c r="SX56" i="1"/>
  <c r="UO56" i="1"/>
  <c r="UQ56" i="1" s="1"/>
  <c r="VB56" i="1"/>
  <c r="ZO56" i="1"/>
  <c r="VH57" i="1"/>
  <c r="VJ57" i="1" s="1"/>
  <c r="WM59" i="1"/>
  <c r="WN59" i="1" s="1"/>
  <c r="VM59" i="1"/>
  <c r="UN59" i="1"/>
  <c r="UC59" i="1"/>
  <c r="TM59" i="1"/>
  <c r="SZ59" i="1"/>
  <c r="RU59" i="1"/>
  <c r="OO59" i="1"/>
  <c r="OR59" i="1" s="1"/>
  <c r="OL59" i="1"/>
  <c r="OJ59" i="1"/>
  <c r="OE59" i="1"/>
  <c r="NX59" i="1"/>
  <c r="NT59" i="1"/>
  <c r="NQ59" i="1"/>
  <c r="NM59" i="1"/>
  <c r="NJ59" i="1"/>
  <c r="NE59" i="1"/>
  <c r="NB59" i="1"/>
  <c r="MX59" i="1"/>
  <c r="MU59" i="1"/>
  <c r="LO59" i="1"/>
  <c r="AAX59" i="1" s="1"/>
  <c r="ADG59" i="1" s="1"/>
  <c r="KT59" i="1"/>
  <c r="KU59" i="1" s="1"/>
  <c r="KV59" i="1" s="1"/>
  <c r="KX59" i="1" s="1"/>
  <c r="KM59" i="1"/>
  <c r="KN59" i="1" s="1"/>
  <c r="JB59" i="1"/>
  <c r="IZ59" i="1"/>
  <c r="JA59" i="1" s="1"/>
  <c r="JC59" i="1" s="1"/>
  <c r="HN59" i="1"/>
  <c r="GH59" i="1"/>
  <c r="GI59" i="1" s="1"/>
  <c r="GJ59" i="1" s="1"/>
  <c r="GL59" i="1" s="1"/>
  <c r="FF59" i="1"/>
  <c r="FB59" i="1"/>
  <c r="FC59" i="1" s="1"/>
  <c r="EB59" i="1"/>
  <c r="DW59" i="1"/>
  <c r="WT59" i="1"/>
  <c r="VB59" i="1"/>
  <c r="UO59" i="1"/>
  <c r="UQ59" i="1" s="1"/>
  <c r="SX59" i="1"/>
  <c r="RY59" i="1"/>
  <c r="QV59" i="1"/>
  <c r="QN59" i="1"/>
  <c r="QL59" i="1"/>
  <c r="PE59" i="1"/>
  <c r="PB59" i="1"/>
  <c r="OU59" i="1"/>
  <c r="OY59" i="1" s="1"/>
  <c r="OW59" i="1" s="1"/>
  <c r="OC59" i="1"/>
  <c r="OA59" i="1"/>
  <c r="NV59" i="1"/>
  <c r="NO59" i="1"/>
  <c r="NG59" i="1"/>
  <c r="MZ59" i="1"/>
  <c r="LQ59" i="1"/>
  <c r="AAZ59" i="1" s="1"/>
  <c r="ADI59" i="1" s="1"/>
  <c r="LG59" i="1"/>
  <c r="KW59" i="1"/>
  <c r="KR59" i="1"/>
  <c r="KK59" i="1"/>
  <c r="KG59" i="1"/>
  <c r="JW59" i="1"/>
  <c r="JP59" i="1"/>
  <c r="JN59" i="1"/>
  <c r="JO59" i="1" s="1"/>
  <c r="JQ59" i="1" s="1"/>
  <c r="IJ59" i="1"/>
  <c r="HX59" i="1"/>
  <c r="HZ59" i="1" s="1"/>
  <c r="HT59" i="1"/>
  <c r="HU59" i="1" s="1"/>
  <c r="HP59" i="1"/>
  <c r="HR59" i="1" s="1"/>
  <c r="HJ59" i="1"/>
  <c r="HL59" i="1" s="1"/>
  <c r="HK59" i="1" s="1"/>
  <c r="GK59" i="1"/>
  <c r="FW59" i="1"/>
  <c r="FQ59" i="1"/>
  <c r="FR59" i="1" s="1"/>
  <c r="EQ59" i="1"/>
  <c r="EM59" i="1"/>
  <c r="EN59" i="1" s="1"/>
  <c r="DY59" i="1"/>
  <c r="DZ59" i="1" s="1"/>
  <c r="EA59" i="1" s="1"/>
  <c r="EC59" i="1" s="1"/>
  <c r="DH59" i="1"/>
  <c r="DC59" i="1"/>
  <c r="DD59" i="1" s="1"/>
  <c r="CX59" i="1"/>
  <c r="CV59" i="1"/>
  <c r="CT59" i="1"/>
  <c r="CU59" i="1" s="1"/>
  <c r="CB59" i="1"/>
  <c r="BW59" i="1"/>
  <c r="BF59" i="1"/>
  <c r="AY59" i="1"/>
  <c r="VK59" i="1"/>
  <c r="AE59" i="1"/>
  <c r="GT59" i="1"/>
  <c r="CD57" i="1"/>
  <c r="CF57" i="1"/>
  <c r="CT57" i="1"/>
  <c r="CU57" i="1" s="1"/>
  <c r="CV57" i="1"/>
  <c r="CW57" i="1" s="1"/>
  <c r="DC57" i="1"/>
  <c r="DD57" i="1" s="1"/>
  <c r="DH57" i="1"/>
  <c r="DY57" i="1"/>
  <c r="DZ57" i="1" s="1"/>
  <c r="EA57" i="1" s="1"/>
  <c r="EM57" i="1"/>
  <c r="EN57" i="1" s="1"/>
  <c r="FQ57" i="1"/>
  <c r="FR57" i="1" s="1"/>
  <c r="GW57" i="1"/>
  <c r="GX57" i="1" s="1"/>
  <c r="HJ57" i="1"/>
  <c r="HL57" i="1" s="1"/>
  <c r="HK57" i="1" s="1"/>
  <c r="HP57" i="1"/>
  <c r="HR57" i="1" s="1"/>
  <c r="HT57" i="1"/>
  <c r="HU57" i="1" s="1"/>
  <c r="HX57" i="1"/>
  <c r="HZ57" i="1" s="1"/>
  <c r="IJ57" i="1"/>
  <c r="JN57" i="1"/>
  <c r="JO57" i="1" s="1"/>
  <c r="KG57" i="1"/>
  <c r="KK57" i="1"/>
  <c r="KR57" i="1"/>
  <c r="LG57" i="1"/>
  <c r="LQ57" i="1"/>
  <c r="AAZ57" i="1" s="1"/>
  <c r="ADI57" i="1" s="1"/>
  <c r="MZ57" i="1"/>
  <c r="NG57" i="1"/>
  <c r="NO57" i="1"/>
  <c r="NV57" i="1"/>
  <c r="NX57" i="1"/>
  <c r="OE57" i="1"/>
  <c r="OJ57" i="1"/>
  <c r="OL57" i="1"/>
  <c r="OO57" i="1"/>
  <c r="OR57" i="1" s="1"/>
  <c r="RU57" i="1"/>
  <c r="SZ57" i="1"/>
  <c r="TM57" i="1"/>
  <c r="UC57" i="1"/>
  <c r="UN57" i="1"/>
  <c r="VM57" i="1"/>
  <c r="WM57" i="1"/>
  <c r="WN57" i="1" s="1"/>
  <c r="ACR57" i="1"/>
  <c r="O58" i="1"/>
  <c r="AC58" i="1"/>
  <c r="AY58" i="1"/>
  <c r="BF58" i="1"/>
  <c r="BW58" i="1"/>
  <c r="CB58" i="1"/>
  <c r="CI58" i="1"/>
  <c r="CR58" i="1"/>
  <c r="CX58" i="1"/>
  <c r="DC58" i="1"/>
  <c r="DD58" i="1" s="1"/>
  <c r="DH58" i="1"/>
  <c r="DN58" i="1"/>
  <c r="DS58" i="1"/>
  <c r="DT58" i="1" s="1"/>
  <c r="DW58" i="1"/>
  <c r="EB58" i="1"/>
  <c r="EG58" i="1"/>
  <c r="EK58" i="1"/>
  <c r="EQ58" i="1"/>
  <c r="EZ58" i="1"/>
  <c r="FF58" i="1"/>
  <c r="FK58" i="1"/>
  <c r="FL58" i="1" s="1"/>
  <c r="ABW58" i="1" s="1"/>
  <c r="FO58" i="1"/>
  <c r="GH58" i="1"/>
  <c r="GI58" i="1" s="1"/>
  <c r="GJ58" i="1" s="1"/>
  <c r="GL58" i="1" s="1"/>
  <c r="HN58" i="1"/>
  <c r="IZ58" i="1"/>
  <c r="JA58" i="1" s="1"/>
  <c r="JC58" i="1" s="1"/>
  <c r="JB58" i="1"/>
  <c r="JG58" i="1"/>
  <c r="JH58" i="1" s="1"/>
  <c r="JL58" i="1"/>
  <c r="KG58" i="1"/>
  <c r="KK58" i="1"/>
  <c r="KT58" i="1"/>
  <c r="KU58" i="1" s="1"/>
  <c r="KV58" i="1" s="1"/>
  <c r="KX58" i="1" s="1"/>
  <c r="LO58" i="1"/>
  <c r="AAX58" i="1" s="1"/>
  <c r="ADG58" i="1" s="1"/>
  <c r="MU58" i="1"/>
  <c r="MX58" i="1"/>
  <c r="NB58" i="1"/>
  <c r="NE58" i="1"/>
  <c r="NJ58" i="1"/>
  <c r="NM58" i="1"/>
  <c r="NQ58" i="1"/>
  <c r="NT58" i="1"/>
  <c r="OA58" i="1"/>
  <c r="OC58" i="1"/>
  <c r="OU58" i="1"/>
  <c r="OY58" i="1" s="1"/>
  <c r="PB58" i="1"/>
  <c r="PE58" i="1"/>
  <c r="QL58" i="1"/>
  <c r="QN58" i="1"/>
  <c r="QV58" i="1"/>
  <c r="RY58" i="1"/>
  <c r="SX58" i="1"/>
  <c r="UO58" i="1"/>
  <c r="UQ58" i="1" s="1"/>
  <c r="VB58" i="1"/>
  <c r="WT58" i="1"/>
  <c r="ZA58" i="1"/>
  <c r="ZO58" i="1"/>
  <c r="ABS58" i="1"/>
  <c r="O59" i="1"/>
  <c r="R59" i="1"/>
  <c r="AD59" i="1"/>
  <c r="CG59" i="1"/>
  <c r="CR59" i="1"/>
  <c r="DJ59" i="1"/>
  <c r="DK59" i="1" s="1"/>
  <c r="DN59" i="1"/>
  <c r="DS59" i="1"/>
  <c r="DT59" i="1" s="1"/>
  <c r="AAS59" i="1"/>
  <c r="HF59" i="1"/>
  <c r="VI59" i="1"/>
  <c r="ABS59" i="1"/>
  <c r="ZB59" i="1"/>
  <c r="BS59" i="1"/>
  <c r="BT59" i="1" s="1"/>
  <c r="BK59" i="1"/>
  <c r="BI59" i="1"/>
  <c r="BJ59" i="1" s="1"/>
  <c r="MP59" i="1"/>
  <c r="MQ59" i="1" s="1"/>
  <c r="LW59" i="1"/>
  <c r="VH59" i="1"/>
  <c r="VJ59" i="1" s="1"/>
  <c r="O57" i="1"/>
  <c r="AY57" i="1"/>
  <c r="BF57" i="1"/>
  <c r="BW57" i="1"/>
  <c r="CB57" i="1"/>
  <c r="CG57" i="1"/>
  <c r="CR57" i="1"/>
  <c r="DJ57" i="1"/>
  <c r="DK57" i="1" s="1"/>
  <c r="DL57" i="1"/>
  <c r="DM57" i="1" s="1"/>
  <c r="DS57" i="1"/>
  <c r="DT57" i="1" s="1"/>
  <c r="DW57" i="1"/>
  <c r="FB57" i="1"/>
  <c r="FC57" i="1" s="1"/>
  <c r="GH57" i="1"/>
  <c r="GI57" i="1" s="1"/>
  <c r="GJ57" i="1" s="1"/>
  <c r="HN57" i="1"/>
  <c r="IZ57" i="1"/>
  <c r="JA57" i="1" s="1"/>
  <c r="KM57" i="1"/>
  <c r="KN57" i="1" s="1"/>
  <c r="KT57" i="1"/>
  <c r="KU57" i="1" s="1"/>
  <c r="KV57" i="1" s="1"/>
  <c r="LO57" i="1"/>
  <c r="AAX57" i="1" s="1"/>
  <c r="ADG57" i="1" s="1"/>
  <c r="LW57" i="1"/>
  <c r="MP57" i="1"/>
  <c r="MQ57" i="1" s="1"/>
  <c r="MU57" i="1"/>
  <c r="MX57" i="1"/>
  <c r="NB57" i="1"/>
  <c r="NE57" i="1"/>
  <c r="NJ57" i="1"/>
  <c r="NM57" i="1"/>
  <c r="NQ57" i="1"/>
  <c r="NT57" i="1"/>
  <c r="OA57" i="1"/>
  <c r="OC57" i="1"/>
  <c r="OU57" i="1"/>
  <c r="OY57" i="1" s="1"/>
  <c r="OW57" i="1" s="1"/>
  <c r="PB57" i="1"/>
  <c r="PE57" i="1"/>
  <c r="QL57" i="1"/>
  <c r="QN57" i="1"/>
  <c r="QV57" i="1"/>
  <c r="RY57" i="1"/>
  <c r="SX57" i="1"/>
  <c r="UO57" i="1"/>
  <c r="UQ57" i="1" s="1"/>
  <c r="VB57" i="1"/>
  <c r="ZO57" i="1"/>
  <c r="CD58" i="1"/>
  <c r="CT58" i="1"/>
  <c r="CU58" i="1" s="1"/>
  <c r="DJ58" i="1"/>
  <c r="DK58" i="1" s="1"/>
  <c r="DY58" i="1"/>
  <c r="DZ58" i="1" s="1"/>
  <c r="EM58" i="1"/>
  <c r="EN58" i="1" s="1"/>
  <c r="FB58" i="1"/>
  <c r="FC58" i="1" s="1"/>
  <c r="FQ58" i="1"/>
  <c r="FR58" i="1" s="1"/>
  <c r="FW58" i="1"/>
  <c r="GB58" i="1"/>
  <c r="GC58" i="1" s="1"/>
  <c r="GF58" i="1"/>
  <c r="ABN58" i="1" s="1"/>
  <c r="GK58" i="1"/>
  <c r="HJ58" i="1"/>
  <c r="HL58" i="1" s="1"/>
  <c r="HK58" i="1" s="1"/>
  <c r="HP58" i="1"/>
  <c r="HR58" i="1" s="1"/>
  <c r="HT58" i="1"/>
  <c r="HU58" i="1" s="1"/>
  <c r="HX58" i="1"/>
  <c r="HZ58" i="1" s="1"/>
  <c r="IJ58" i="1"/>
  <c r="IQ58" i="1"/>
  <c r="IR58" i="1" s="1"/>
  <c r="IX58" i="1"/>
  <c r="JN58" i="1"/>
  <c r="JO58" i="1" s="1"/>
  <c r="JQ58" i="1" s="1"/>
  <c r="JP58" i="1"/>
  <c r="JW58" i="1"/>
  <c r="KR58" i="1"/>
  <c r="KW58" i="1"/>
  <c r="LG58" i="1"/>
  <c r="LQ58" i="1"/>
  <c r="AAZ58" i="1" s="1"/>
  <c r="ADI58" i="1" s="1"/>
  <c r="MO58" i="1"/>
  <c r="MZ58" i="1"/>
  <c r="NG58" i="1"/>
  <c r="NO58" i="1"/>
  <c r="NV58" i="1"/>
  <c r="NX58" i="1"/>
  <c r="OE58" i="1"/>
  <c r="OJ58" i="1"/>
  <c r="OO58" i="1"/>
  <c r="OR58" i="1" s="1"/>
  <c r="OW58" i="1"/>
  <c r="RU58" i="1"/>
  <c r="SZ58" i="1"/>
  <c r="TM58" i="1"/>
  <c r="UC58" i="1"/>
  <c r="UN58" i="1"/>
  <c r="VM58" i="1"/>
  <c r="ACR58" i="1"/>
  <c r="J59" i="1"/>
  <c r="Y59" i="1"/>
  <c r="BO59" i="1"/>
  <c r="BP59" i="1" s="1"/>
  <c r="CD59" i="1"/>
  <c r="CI59" i="1"/>
  <c r="DL59" i="1"/>
  <c r="DM59" i="1" s="1"/>
  <c r="DO59" i="1" s="1"/>
  <c r="VA59" i="1"/>
  <c r="ZA59" i="1"/>
  <c r="HB59" i="1"/>
  <c r="GT60" i="1"/>
  <c r="VI60" i="1"/>
  <c r="MO60" i="1"/>
  <c r="GW59" i="1"/>
  <c r="GX59" i="1" s="1"/>
  <c r="MO59" i="1"/>
  <c r="ZO59" i="1"/>
  <c r="O60" i="1"/>
  <c r="AAS60" i="1"/>
  <c r="HF60" i="1"/>
  <c r="VH60" i="1"/>
  <c r="VJ60" i="1" s="1"/>
  <c r="WM60" i="1"/>
  <c r="WN60" i="1" s="1"/>
  <c r="VM60" i="1"/>
  <c r="UN60" i="1"/>
  <c r="UC60" i="1"/>
  <c r="TM60" i="1"/>
  <c r="SZ60" i="1"/>
  <c r="RU60" i="1"/>
  <c r="OO60" i="1"/>
  <c r="OR60" i="1" s="1"/>
  <c r="OL60" i="1"/>
  <c r="OJ60" i="1"/>
  <c r="OE60" i="1"/>
  <c r="NV60" i="1"/>
  <c r="NO60" i="1"/>
  <c r="NG60" i="1"/>
  <c r="MZ60" i="1"/>
  <c r="LQ60" i="1"/>
  <c r="AAZ60" i="1" s="1"/>
  <c r="ADI60" i="1" s="1"/>
  <c r="LG60" i="1"/>
  <c r="KR60" i="1"/>
  <c r="JN60" i="1"/>
  <c r="JO60" i="1" s="1"/>
  <c r="IX60" i="1"/>
  <c r="IJ60" i="1"/>
  <c r="HX60" i="1"/>
  <c r="HZ60" i="1" s="1"/>
  <c r="HT60" i="1"/>
  <c r="HU60" i="1" s="1"/>
  <c r="HP60" i="1"/>
  <c r="HR60" i="1" s="1"/>
  <c r="HJ60" i="1"/>
  <c r="HL60" i="1" s="1"/>
  <c r="HK60" i="1" s="1"/>
  <c r="GF60" i="1"/>
  <c r="FQ60" i="1"/>
  <c r="FR60" i="1" s="1"/>
  <c r="EZ60" i="1"/>
  <c r="EM60" i="1"/>
  <c r="EN60" i="1" s="1"/>
  <c r="DY60" i="1"/>
  <c r="DZ60" i="1" s="1"/>
  <c r="EA60" i="1" s="1"/>
  <c r="DH60" i="1"/>
  <c r="DC60" i="1"/>
  <c r="DD60" i="1" s="1"/>
  <c r="CV60" i="1"/>
  <c r="CT60" i="1"/>
  <c r="CU60" i="1" s="1"/>
  <c r="CB60" i="1"/>
  <c r="BW60" i="1"/>
  <c r="BF60" i="1"/>
  <c r="AY60" i="1"/>
  <c r="J60" i="1"/>
  <c r="WT60" i="1"/>
  <c r="VB60" i="1"/>
  <c r="UO60" i="1"/>
  <c r="UQ60" i="1" s="1"/>
  <c r="SX60" i="1"/>
  <c r="RY60" i="1"/>
  <c r="QV60" i="1"/>
  <c r="QN60" i="1"/>
  <c r="QL60" i="1"/>
  <c r="PE60" i="1"/>
  <c r="PB60" i="1"/>
  <c r="OU60" i="1"/>
  <c r="OY60" i="1" s="1"/>
  <c r="OW60" i="1" s="1"/>
  <c r="OC60" i="1"/>
  <c r="OA60" i="1"/>
  <c r="NX60" i="1"/>
  <c r="NT60" i="1"/>
  <c r="NQ60" i="1"/>
  <c r="NM60" i="1"/>
  <c r="NJ60" i="1"/>
  <c r="NE60" i="1"/>
  <c r="NB60" i="1"/>
  <c r="MX60" i="1"/>
  <c r="MU60" i="1"/>
  <c r="LO60" i="1"/>
  <c r="AAX60" i="1" s="1"/>
  <c r="ADG60" i="1" s="1"/>
  <c r="KT60" i="1"/>
  <c r="KU60" i="1" s="1"/>
  <c r="KV60" i="1" s="1"/>
  <c r="KK60" i="1"/>
  <c r="KG60" i="1"/>
  <c r="KH60" i="1" s="1"/>
  <c r="JL60" i="1"/>
  <c r="IZ60" i="1"/>
  <c r="JA60" i="1" s="1"/>
  <c r="HN60" i="1"/>
  <c r="GH60" i="1"/>
  <c r="GI60" i="1" s="1"/>
  <c r="GJ60" i="1" s="1"/>
  <c r="FO60" i="1"/>
  <c r="FB60" i="1"/>
  <c r="FC60" i="1" s="1"/>
  <c r="EK60" i="1"/>
  <c r="DW60" i="1"/>
  <c r="DS60" i="1"/>
  <c r="DT60" i="1" s="1"/>
  <c r="DL60" i="1"/>
  <c r="DM60" i="1" s="1"/>
  <c r="DJ60" i="1"/>
  <c r="DK60" i="1" s="1"/>
  <c r="CR60" i="1"/>
  <c r="CG60" i="1"/>
  <c r="CD60" i="1"/>
  <c r="VK60" i="1"/>
  <c r="AE60" i="1"/>
  <c r="AD60" i="1"/>
  <c r="ZB60" i="1"/>
  <c r="BS60" i="1"/>
  <c r="BT60" i="1" s="1"/>
  <c r="BK60" i="1"/>
  <c r="BI60" i="1"/>
  <c r="BJ60" i="1" s="1"/>
  <c r="BO60" i="1"/>
  <c r="BP60" i="1" s="1"/>
  <c r="VA60" i="1"/>
  <c r="GX60" i="1"/>
  <c r="HB60" i="1"/>
  <c r="ABS60" i="1"/>
  <c r="LW60" i="1"/>
  <c r="MP60" i="1"/>
  <c r="MQ60" i="1" s="1"/>
  <c r="ZA60" i="1"/>
  <c r="ZO60" i="1"/>
  <c r="AEB60" i="1"/>
  <c r="VJ20" i="1" l="1"/>
  <c r="QN9" i="1"/>
  <c r="BJ22" i="1"/>
  <c r="AAY20" i="1"/>
  <c r="ADH20" i="1" s="1"/>
  <c r="ZC20" i="1"/>
  <c r="ZF20" i="1"/>
  <c r="ABD20" i="1"/>
  <c r="IK15" i="1"/>
  <c r="ZM15" i="1"/>
  <c r="IL15" i="1"/>
  <c r="YD14" i="1"/>
  <c r="YM14" i="1"/>
  <c r="SD53" i="1"/>
  <c r="SE53" i="1"/>
  <c r="KH33" i="1"/>
  <c r="ABN10" i="1"/>
  <c r="VO21" i="1"/>
  <c r="VJ11" i="1"/>
  <c r="QK55" i="1"/>
  <c r="QL55" i="1" s="1"/>
  <c r="QN55" i="1"/>
  <c r="ABG20" i="1"/>
  <c r="ADK20" i="1" s="1"/>
  <c r="ZG20" i="1"/>
  <c r="KB15" i="1"/>
  <c r="KC15" i="1" s="1"/>
  <c r="IQ15" i="1"/>
  <c r="IR15" i="1" s="1"/>
  <c r="GB15" i="1"/>
  <c r="GC15" i="1" s="1"/>
  <c r="FS15" i="1"/>
  <c r="FT15" i="1" s="1"/>
  <c r="IK13" i="1"/>
  <c r="ZM13" i="1"/>
  <c r="IL13" i="1"/>
  <c r="KB13" i="1"/>
  <c r="KC13" i="1" s="1"/>
  <c r="IQ13" i="1"/>
  <c r="IR13" i="1" s="1"/>
  <c r="FO13" i="1"/>
  <c r="FQ13" i="1" s="1"/>
  <c r="EK13" i="1"/>
  <c r="EM13" i="1" s="1"/>
  <c r="EZ13" i="1"/>
  <c r="FB13" i="1" s="1"/>
  <c r="YD20" i="1"/>
  <c r="YM20" i="1"/>
  <c r="UF11" i="1"/>
  <c r="UG11" i="1" s="1"/>
  <c r="OX11" i="2"/>
  <c r="ABU11" i="2"/>
  <c r="ZP11" i="2"/>
  <c r="ABU13" i="2"/>
  <c r="OX13" i="2"/>
  <c r="ZP13" i="2"/>
  <c r="OX12" i="2"/>
  <c r="ABU12" i="2"/>
  <c r="ZP12" i="2"/>
  <c r="YE14" i="2"/>
  <c r="UD14" i="2"/>
  <c r="UE14" i="2" s="1"/>
  <c r="OS14" i="2"/>
  <c r="OM14" i="2"/>
  <c r="AAY14" i="2"/>
  <c r="ADH14" i="2" s="1"/>
  <c r="ZC14" i="2"/>
  <c r="ABG14" i="2"/>
  <c r="ADK14" i="2" s="1"/>
  <c r="ZG14" i="2"/>
  <c r="ZF14" i="2"/>
  <c r="ABD14" i="2"/>
  <c r="ABB14" i="2"/>
  <c r="ADN14" i="2" s="1"/>
  <c r="ZE14" i="2"/>
  <c r="ZD14" i="2"/>
  <c r="ABA14" i="2"/>
  <c r="ADM14" i="2" s="1"/>
  <c r="ZH14" i="2"/>
  <c r="MR14" i="2"/>
  <c r="MS14" i="2" s="1"/>
  <c r="ABI14" i="2"/>
  <c r="JX14" i="2"/>
  <c r="IL14" i="2"/>
  <c r="ZM14" i="2"/>
  <c r="IK14" i="2"/>
  <c r="CN14" i="2"/>
  <c r="CO14" i="2" s="1"/>
  <c r="BX14" i="2"/>
  <c r="YM14" i="2"/>
  <c r="YD14" i="2"/>
  <c r="QW14" i="2"/>
  <c r="QX14" i="2" s="1"/>
  <c r="TZ14" i="2" s="1"/>
  <c r="QQ14" i="2"/>
  <c r="QS14" i="2" s="1"/>
  <c r="PC14" i="2"/>
  <c r="VN14" i="2"/>
  <c r="WC14" i="2" s="1"/>
  <c r="YR14" i="2" s="1"/>
  <c r="JC14" i="2"/>
  <c r="GH14" i="2"/>
  <c r="ABN14" i="2"/>
  <c r="YM13" i="2"/>
  <c r="YD13" i="2"/>
  <c r="QW13" i="2"/>
  <c r="QX13" i="2" s="1"/>
  <c r="TZ13" i="2" s="1"/>
  <c r="QQ13" i="2"/>
  <c r="QS13" i="2" s="1"/>
  <c r="VN13" i="2"/>
  <c r="WC13" i="2" s="1"/>
  <c r="YR13" i="2" s="1"/>
  <c r="PC13" i="2"/>
  <c r="JX13" i="2"/>
  <c r="ZM13" i="2"/>
  <c r="IL13" i="2"/>
  <c r="IK13" i="2"/>
  <c r="AAV14" i="2"/>
  <c r="BL14" i="2"/>
  <c r="YE13" i="2"/>
  <c r="YL13" i="2"/>
  <c r="XW13" i="2"/>
  <c r="UD13" i="2"/>
  <c r="UE13" i="2" s="1"/>
  <c r="OM13" i="2"/>
  <c r="OS13" i="2"/>
  <c r="ZC13" i="2"/>
  <c r="AAY13" i="2"/>
  <c r="ADH13" i="2" s="1"/>
  <c r="ABG13" i="2"/>
  <c r="ADK13" i="2" s="1"/>
  <c r="ZG13" i="2"/>
  <c r="ABD13" i="2"/>
  <c r="ZF13" i="2"/>
  <c r="ABB13" i="2"/>
  <c r="ADN13" i="2" s="1"/>
  <c r="ZE13" i="2"/>
  <c r="ABA13" i="2"/>
  <c r="ADM13" i="2" s="1"/>
  <c r="ZD13" i="2"/>
  <c r="JC13" i="2"/>
  <c r="EH13" i="2"/>
  <c r="EV13" i="2"/>
  <c r="EW13" i="2" s="1"/>
  <c r="CD13" i="2"/>
  <c r="SD13" i="2"/>
  <c r="QW12" i="2"/>
  <c r="QX12" i="2" s="1"/>
  <c r="TZ12" i="2" s="1"/>
  <c r="QQ12" i="2"/>
  <c r="QS12" i="2" s="1"/>
  <c r="VN12" i="2"/>
  <c r="WC12" i="2" s="1"/>
  <c r="YR12" i="2" s="1"/>
  <c r="PC12" i="2"/>
  <c r="HL12" i="2"/>
  <c r="HK12" i="2" s="1"/>
  <c r="ZM11" i="2"/>
  <c r="IL11" i="2"/>
  <c r="IK11" i="2"/>
  <c r="KB11" i="2"/>
  <c r="KC11" i="2" s="1"/>
  <c r="JU11" i="2"/>
  <c r="JV11" i="2" s="1"/>
  <c r="IX11" i="2"/>
  <c r="IQ11" i="2"/>
  <c r="IR11" i="2" s="1"/>
  <c r="GF11" i="2"/>
  <c r="GB11" i="2"/>
  <c r="GC11" i="2" s="1"/>
  <c r="JL11" i="2"/>
  <c r="JG11" i="2"/>
  <c r="JH11" i="2" s="1"/>
  <c r="FO11" i="2"/>
  <c r="FQ11" i="2" s="1"/>
  <c r="FK11" i="2"/>
  <c r="FL11" i="2" s="1"/>
  <c r="ABW11" i="2" s="1"/>
  <c r="EZ11" i="2"/>
  <c r="FB11" i="2" s="1"/>
  <c r="EK11" i="2"/>
  <c r="EM11" i="2" s="1"/>
  <c r="EG11" i="2"/>
  <c r="NY12" i="2"/>
  <c r="VC12" i="2"/>
  <c r="XX12" i="2" s="1"/>
  <c r="NR12" i="2"/>
  <c r="VG12" i="2"/>
  <c r="XZ12" i="2" s="1"/>
  <c r="VF12" i="2"/>
  <c r="NK12" i="2"/>
  <c r="NC12" i="2"/>
  <c r="VE12" i="2"/>
  <c r="YC12" i="2" s="1"/>
  <c r="VD12" i="2"/>
  <c r="YB12" i="2" s="1"/>
  <c r="MV12" i="2"/>
  <c r="JQ12" i="2"/>
  <c r="ZM12" i="2"/>
  <c r="IK12" i="2"/>
  <c r="IL12" i="2"/>
  <c r="CN12" i="2"/>
  <c r="CO12" i="2" s="1"/>
  <c r="BX12" i="2"/>
  <c r="AAV12" i="2"/>
  <c r="BL12" i="2"/>
  <c r="ADV11" i="2"/>
  <c r="ADF11" i="2"/>
  <c r="YE11" i="2"/>
  <c r="YL11" i="2"/>
  <c r="XW11" i="2"/>
  <c r="UD11" i="2"/>
  <c r="UE11" i="2"/>
  <c r="NY11" i="2"/>
  <c r="VC11" i="2"/>
  <c r="XX11" i="2" s="1"/>
  <c r="NR11" i="2"/>
  <c r="VG11" i="2"/>
  <c r="XZ11" i="2" s="1"/>
  <c r="VF11" i="2"/>
  <c r="NK11" i="2"/>
  <c r="NC11" i="2"/>
  <c r="VE11" i="2"/>
  <c r="YC11" i="2" s="1"/>
  <c r="VD11" i="2"/>
  <c r="YB11" i="2" s="1"/>
  <c r="MV11" i="2"/>
  <c r="CD11" i="2"/>
  <c r="SD11" i="2"/>
  <c r="YE10" i="2"/>
  <c r="UD10" i="2"/>
  <c r="UE10" i="2" s="1"/>
  <c r="ZP10" i="2"/>
  <c r="ABU10" i="2"/>
  <c r="OX10" i="2"/>
  <c r="VC10" i="2"/>
  <c r="XX10" i="2" s="1"/>
  <c r="NY10" i="2"/>
  <c r="VG10" i="2"/>
  <c r="XZ10" i="2" s="1"/>
  <c r="NR10" i="2"/>
  <c r="VF10" i="2"/>
  <c r="NK10" i="2"/>
  <c r="VE10" i="2"/>
  <c r="YC10" i="2" s="1"/>
  <c r="NC10" i="2"/>
  <c r="VD10" i="2"/>
  <c r="YB10" i="2" s="1"/>
  <c r="MV10" i="2"/>
  <c r="ZM10" i="2"/>
  <c r="IL10" i="2"/>
  <c r="IK10" i="2"/>
  <c r="CD10" i="2"/>
  <c r="KB10" i="2"/>
  <c r="KC10" i="2" s="1"/>
  <c r="JU10" i="2"/>
  <c r="JV10" i="2" s="1"/>
  <c r="IX10" i="2"/>
  <c r="IQ10" i="2"/>
  <c r="IR10" i="2" s="1"/>
  <c r="FO10" i="2"/>
  <c r="FQ10" i="2" s="1"/>
  <c r="FK10" i="2"/>
  <c r="FL10" i="2" s="1"/>
  <c r="ABW10" i="2" s="1"/>
  <c r="EZ10" i="2"/>
  <c r="FB10" i="2" s="1"/>
  <c r="EK10" i="2"/>
  <c r="EM10" i="2" s="1"/>
  <c r="EG10" i="2"/>
  <c r="JL10" i="2"/>
  <c r="JG10" i="2"/>
  <c r="JH10" i="2" s="1"/>
  <c r="GF10" i="2"/>
  <c r="GB10" i="2"/>
  <c r="GC10" i="2" s="1"/>
  <c r="ABI11" i="2"/>
  <c r="ABL11" i="2" s="1"/>
  <c r="ZH11" i="2"/>
  <c r="ZJ11" i="2" s="1"/>
  <c r="MR11" i="2"/>
  <c r="MS11" i="2" s="1"/>
  <c r="YD10" i="2"/>
  <c r="YM10" i="2"/>
  <c r="QW10" i="2"/>
  <c r="QX10" i="2" s="1"/>
  <c r="TZ10" i="2" s="1"/>
  <c r="QQ10" i="2"/>
  <c r="QS10" i="2" s="1"/>
  <c r="PC10" i="2"/>
  <c r="VN10" i="2"/>
  <c r="WC10" i="2" s="1"/>
  <c r="YR10" i="2" s="1"/>
  <c r="GT10" i="2"/>
  <c r="ADE14" i="2"/>
  <c r="ZN12" i="2"/>
  <c r="BJ13" i="2"/>
  <c r="ZN13" i="2"/>
  <c r="VJ11" i="2"/>
  <c r="UI14" i="2"/>
  <c r="UJ14" i="2" s="1"/>
  <c r="UF14" i="2"/>
  <c r="UG14" i="2" s="1"/>
  <c r="TN14" i="2"/>
  <c r="ABU14" i="2"/>
  <c r="ZP14" i="2"/>
  <c r="OX14" i="2"/>
  <c r="VC14" i="2"/>
  <c r="XX14" i="2" s="1"/>
  <c r="NY14" i="2"/>
  <c r="VG14" i="2"/>
  <c r="XZ14" i="2" s="1"/>
  <c r="NR14" i="2"/>
  <c r="VF14" i="2"/>
  <c r="NK14" i="2"/>
  <c r="VE14" i="2"/>
  <c r="YC14" i="2" s="1"/>
  <c r="NC14" i="2"/>
  <c r="VD14" i="2"/>
  <c r="YB14" i="2" s="1"/>
  <c r="MV14" i="2"/>
  <c r="JQ14" i="2"/>
  <c r="IA14" i="2"/>
  <c r="IB14" i="2" s="1"/>
  <c r="EV14" i="2"/>
  <c r="EW14" i="2" s="1"/>
  <c r="EH14" i="2"/>
  <c r="SD14" i="2"/>
  <c r="CD14" i="2"/>
  <c r="GT14" i="2"/>
  <c r="VK14" i="2"/>
  <c r="AD14" i="2"/>
  <c r="AE14" i="2"/>
  <c r="JQ13" i="2"/>
  <c r="IA13" i="2"/>
  <c r="IB13" i="2" s="1"/>
  <c r="ABN13" i="2"/>
  <c r="GH13" i="2"/>
  <c r="ABJ14" i="2"/>
  <c r="ZI14" i="2"/>
  <c r="ADV13" i="2"/>
  <c r="ADF13" i="2"/>
  <c r="ADE13" i="2" s="1"/>
  <c r="UF13" i="2"/>
  <c r="UG13" i="2" s="1"/>
  <c r="TN13" i="2"/>
  <c r="UI13" i="2"/>
  <c r="UJ13" i="2" s="1"/>
  <c r="SO13" i="2"/>
  <c r="NY13" i="2"/>
  <c r="VC13" i="2"/>
  <c r="XX13" i="2" s="1"/>
  <c r="NR13" i="2"/>
  <c r="VG13" i="2"/>
  <c r="XZ13" i="2" s="1"/>
  <c r="VF13" i="2"/>
  <c r="NK13" i="2"/>
  <c r="NC13" i="2"/>
  <c r="VE13" i="2"/>
  <c r="YC13" i="2" s="1"/>
  <c r="VD13" i="2"/>
  <c r="YB13" i="2" s="1"/>
  <c r="MV13" i="2"/>
  <c r="BX13" i="2"/>
  <c r="CN13" i="2"/>
  <c r="CO13" i="2" s="1"/>
  <c r="YM12" i="2"/>
  <c r="YD12" i="2"/>
  <c r="JU12" i="2"/>
  <c r="JV12" i="2" s="1"/>
  <c r="JG12" i="2"/>
  <c r="JH12" i="2" s="1"/>
  <c r="IQ12" i="2"/>
  <c r="IR12" i="2" s="1"/>
  <c r="GB12" i="2"/>
  <c r="GC12" i="2" s="1"/>
  <c r="FK12" i="2"/>
  <c r="FL12" i="2" s="1"/>
  <c r="EG12" i="2"/>
  <c r="YM11" i="2"/>
  <c r="YD11" i="2"/>
  <c r="QW11" i="2"/>
  <c r="QX11" i="2" s="1"/>
  <c r="TZ11" i="2" s="1"/>
  <c r="QQ11" i="2"/>
  <c r="QS11" i="2" s="1"/>
  <c r="VN11" i="2"/>
  <c r="WC11" i="2" s="1"/>
  <c r="YR11" i="2" s="1"/>
  <c r="PC11" i="2"/>
  <c r="JQ11" i="2"/>
  <c r="IA11" i="2"/>
  <c r="IB11" i="2" s="1"/>
  <c r="ADV12" i="2"/>
  <c r="ADF12" i="2"/>
  <c r="YE12" i="2"/>
  <c r="VO12" i="2"/>
  <c r="YL12" i="2"/>
  <c r="XW12" i="2"/>
  <c r="XV12" i="2" s="1"/>
  <c r="UD12" i="2"/>
  <c r="UE12" i="2"/>
  <c r="UF12" i="2"/>
  <c r="UG12" i="2" s="1"/>
  <c r="TN12" i="2"/>
  <c r="UI12" i="2"/>
  <c r="UJ12" i="2" s="1"/>
  <c r="SO12" i="2"/>
  <c r="OM12" i="2"/>
  <c r="OS12" i="2"/>
  <c r="AAY12" i="2"/>
  <c r="ADH12" i="2" s="1"/>
  <c r="ZC12" i="2"/>
  <c r="ZG12" i="2"/>
  <c r="ABG12" i="2"/>
  <c r="ADK12" i="2" s="1"/>
  <c r="ABD12" i="2"/>
  <c r="ZF12" i="2"/>
  <c r="ZE12" i="2"/>
  <c r="ABB12" i="2"/>
  <c r="ADN12" i="2" s="1"/>
  <c r="ABA12" i="2"/>
  <c r="ADM12" i="2" s="1"/>
  <c r="ZD12" i="2"/>
  <c r="JC12" i="2"/>
  <c r="IA12" i="2"/>
  <c r="IB12" i="2" s="1"/>
  <c r="UF11" i="2"/>
  <c r="UG11" i="2" s="1"/>
  <c r="TN11" i="2"/>
  <c r="UI11" i="2"/>
  <c r="UJ11" i="2" s="1"/>
  <c r="SO11" i="2"/>
  <c r="OM11" i="2"/>
  <c r="OS11" i="2"/>
  <c r="AAY11" i="2"/>
  <c r="ADH11" i="2" s="1"/>
  <c r="ZC11" i="2"/>
  <c r="ZG11" i="2"/>
  <c r="ABG11" i="2"/>
  <c r="ADK11" i="2" s="1"/>
  <c r="ABD11" i="2"/>
  <c r="ZF11" i="2"/>
  <c r="ZK11" i="2" s="1"/>
  <c r="ZE11" i="2"/>
  <c r="ABB11" i="2"/>
  <c r="ADN11" i="2" s="1"/>
  <c r="ABA11" i="2"/>
  <c r="ADM11" i="2" s="1"/>
  <c r="ZD11" i="2"/>
  <c r="JC11" i="2"/>
  <c r="BX11" i="2"/>
  <c r="CN11" i="2"/>
  <c r="CO11" i="2" s="1"/>
  <c r="AAV11" i="2"/>
  <c r="BL11" i="2"/>
  <c r="ABI13" i="2"/>
  <c r="ABL13" i="2" s="1"/>
  <c r="ZH13" i="2"/>
  <c r="ZJ13" i="2" s="1"/>
  <c r="MR13" i="2"/>
  <c r="MS13" i="2" s="1"/>
  <c r="AAV13" i="2"/>
  <c r="BL13" i="2"/>
  <c r="UI10" i="2"/>
  <c r="UJ10" i="2" s="1"/>
  <c r="UF10" i="2"/>
  <c r="UG10" i="2" s="1"/>
  <c r="TN10" i="2"/>
  <c r="OS10" i="2"/>
  <c r="OM10" i="2"/>
  <c r="AAY10" i="2"/>
  <c r="ADH10" i="2" s="1"/>
  <c r="ADE10" i="2" s="1"/>
  <c r="ZC10" i="2"/>
  <c r="ABG10" i="2"/>
  <c r="ADK10" i="2" s="1"/>
  <c r="ZG10" i="2"/>
  <c r="ABD10" i="2"/>
  <c r="ZF10" i="2"/>
  <c r="ABB10" i="2"/>
  <c r="ADN10" i="2" s="1"/>
  <c r="ZE10" i="2"/>
  <c r="ABA10" i="2"/>
  <c r="ADM10" i="2" s="1"/>
  <c r="ZD10" i="2"/>
  <c r="ABI10" i="2"/>
  <c r="ZH10" i="2"/>
  <c r="MR10" i="2"/>
  <c r="MS10" i="2" s="1"/>
  <c r="JQ10" i="2"/>
  <c r="IA10" i="2"/>
  <c r="IB10" i="2" s="1"/>
  <c r="CN10" i="2"/>
  <c r="CO10" i="2" s="1"/>
  <c r="BX10" i="2"/>
  <c r="AAV10" i="2"/>
  <c r="BL10" i="2"/>
  <c r="ABI12" i="2"/>
  <c r="ABL12" i="2" s="1"/>
  <c r="ZH12" i="2"/>
  <c r="ZJ12" i="2" s="1"/>
  <c r="MR12" i="2"/>
  <c r="MS12" i="2" s="1"/>
  <c r="JC10" i="2"/>
  <c r="ABJ10" i="2"/>
  <c r="ZI10" i="2"/>
  <c r="XV14" i="2"/>
  <c r="ZN14" i="2"/>
  <c r="ZN11" i="2"/>
  <c r="VJ13" i="2"/>
  <c r="VJ12" i="2"/>
  <c r="ZN10" i="2"/>
  <c r="XV10" i="2"/>
  <c r="OX57" i="1"/>
  <c r="ABU57" i="1"/>
  <c r="ZP57" i="1"/>
  <c r="ABU59" i="1"/>
  <c r="ZP59" i="1"/>
  <c r="OX59" i="1"/>
  <c r="UY55" i="1"/>
  <c r="ABU50" i="1"/>
  <c r="ZP50" i="1"/>
  <c r="OX50" i="1"/>
  <c r="ZP44" i="1"/>
  <c r="OX44" i="1"/>
  <c r="ABU44" i="1"/>
  <c r="ABU42" i="1"/>
  <c r="ZP42" i="1"/>
  <c r="OX42" i="1"/>
  <c r="ABU39" i="1"/>
  <c r="ZP39" i="1"/>
  <c r="OX39" i="1"/>
  <c r="ABU60" i="1"/>
  <c r="ZP60" i="1"/>
  <c r="OX60" i="1"/>
  <c r="OX56" i="1"/>
  <c r="ABU56" i="1"/>
  <c r="ZP56" i="1"/>
  <c r="OX53" i="1"/>
  <c r="ABU53" i="1"/>
  <c r="ZP53" i="1"/>
  <c r="UZ53" i="1"/>
  <c r="SI53" i="1"/>
  <c r="SB53" i="1"/>
  <c r="OX51" i="1"/>
  <c r="ABU51" i="1"/>
  <c r="ZP51" i="1"/>
  <c r="ABU48" i="1"/>
  <c r="ZP48" i="1"/>
  <c r="OX48" i="1"/>
  <c r="ZP45" i="1"/>
  <c r="OX45" i="1"/>
  <c r="ABU45" i="1"/>
  <c r="ZP43" i="1"/>
  <c r="OX43" i="1"/>
  <c r="ABU43" i="1"/>
  <c r="ABU41" i="1"/>
  <c r="ZP41" i="1"/>
  <c r="OX41" i="1"/>
  <c r="OX40" i="1"/>
  <c r="ABU40" i="1"/>
  <c r="ZP40" i="1"/>
  <c r="AAV60" i="1"/>
  <c r="BL60" i="1"/>
  <c r="CE60" i="1"/>
  <c r="DO60" i="1"/>
  <c r="GL60" i="1"/>
  <c r="JC60" i="1"/>
  <c r="KX60" i="1"/>
  <c r="MV60" i="1"/>
  <c r="VD60" i="1"/>
  <c r="YB60" i="1" s="1"/>
  <c r="VE60" i="1"/>
  <c r="YC60" i="1" s="1"/>
  <c r="NC60" i="1"/>
  <c r="NK60" i="1"/>
  <c r="VF60" i="1"/>
  <c r="VG60" i="1"/>
  <c r="XZ60" i="1" s="1"/>
  <c r="NR60" i="1"/>
  <c r="VC60" i="1"/>
  <c r="XX60" i="1" s="1"/>
  <c r="NY60" i="1"/>
  <c r="PC60" i="1"/>
  <c r="VN60" i="1"/>
  <c r="WC60" i="1" s="1"/>
  <c r="YR60" i="1" s="1"/>
  <c r="QW60" i="1"/>
  <c r="QX60" i="1" s="1"/>
  <c r="TZ60" i="1" s="1"/>
  <c r="QQ60" i="1"/>
  <c r="QS60" i="1" s="1"/>
  <c r="YM60" i="1"/>
  <c r="YD60" i="1"/>
  <c r="CN60" i="1"/>
  <c r="CO60" i="1" s="1"/>
  <c r="BX60" i="1"/>
  <c r="EC60" i="1"/>
  <c r="IA60" i="1"/>
  <c r="IB60" i="1" s="1"/>
  <c r="OS60" i="1"/>
  <c r="OM60" i="1"/>
  <c r="UI60" i="1"/>
  <c r="UF60" i="1"/>
  <c r="TN60" i="1"/>
  <c r="ADV60" i="1"/>
  <c r="ADF60" i="1"/>
  <c r="AAT60" i="1"/>
  <c r="CE59" i="1"/>
  <c r="YE58" i="1"/>
  <c r="UD58" i="1"/>
  <c r="UE58" i="1" s="1"/>
  <c r="ABJ58" i="1"/>
  <c r="ZI58" i="1"/>
  <c r="IL58" i="1"/>
  <c r="ZM58" i="1"/>
  <c r="IK58" i="1"/>
  <c r="SH58" i="1"/>
  <c r="SF58" i="1"/>
  <c r="SJ58" i="1" s="1"/>
  <c r="EA58" i="1"/>
  <c r="YM57" i="1"/>
  <c r="YD57" i="1"/>
  <c r="QW57" i="1"/>
  <c r="QX57" i="1" s="1"/>
  <c r="TZ57" i="1" s="1"/>
  <c r="QQ57" i="1"/>
  <c r="QS57" i="1" s="1"/>
  <c r="VN57" i="1"/>
  <c r="WC57" i="1" s="1"/>
  <c r="YR57" i="1" s="1"/>
  <c r="PC57" i="1"/>
  <c r="ZG57" i="1"/>
  <c r="ABG57" i="1"/>
  <c r="ADK57" i="1" s="1"/>
  <c r="ABD57" i="1"/>
  <c r="ZF57" i="1"/>
  <c r="ZE57" i="1"/>
  <c r="ABB57" i="1"/>
  <c r="ADN57" i="1" s="1"/>
  <c r="ABA57" i="1"/>
  <c r="ADM57" i="1" s="1"/>
  <c r="ZD57" i="1"/>
  <c r="SE57" i="1"/>
  <c r="CH57" i="1"/>
  <c r="CN57" i="1"/>
  <c r="CO57" i="1" s="1"/>
  <c r="BX57" i="1"/>
  <c r="AAV59" i="1"/>
  <c r="BL59" i="1"/>
  <c r="ADV59" i="1"/>
  <c r="ADF59" i="1"/>
  <c r="AAT59" i="1"/>
  <c r="YM58" i="1"/>
  <c r="YD58" i="1"/>
  <c r="QW58" i="1"/>
  <c r="QX58" i="1" s="1"/>
  <c r="TZ58" i="1" s="1"/>
  <c r="QQ58" i="1"/>
  <c r="QS58" i="1" s="1"/>
  <c r="PC58" i="1"/>
  <c r="VN58" i="1"/>
  <c r="WC58" i="1" s="1"/>
  <c r="YR58" i="1" s="1"/>
  <c r="ABG58" i="1"/>
  <c r="ADK58" i="1" s="1"/>
  <c r="ZG58" i="1"/>
  <c r="ZF58" i="1"/>
  <c r="ABD58" i="1"/>
  <c r="ABB58" i="1"/>
  <c r="ADN58" i="1" s="1"/>
  <c r="ZE58" i="1"/>
  <c r="ZD58" i="1"/>
  <c r="ABA58" i="1"/>
  <c r="ADM58" i="1" s="1"/>
  <c r="EH58" i="1"/>
  <c r="EV58" i="1"/>
  <c r="EW58" i="1" s="1"/>
  <c r="VK58" i="1"/>
  <c r="AD58" i="1"/>
  <c r="AE58" i="1"/>
  <c r="UF57" i="1"/>
  <c r="TN57" i="1"/>
  <c r="UI57" i="1"/>
  <c r="ZM57" i="1"/>
  <c r="IK57" i="1"/>
  <c r="IL57" i="1"/>
  <c r="EC57" i="1"/>
  <c r="CE57" i="1"/>
  <c r="SC57" i="1" s="1"/>
  <c r="RZ57" i="1"/>
  <c r="SA57" i="1" s="1"/>
  <c r="CN59" i="1"/>
  <c r="CO59" i="1" s="1"/>
  <c r="BX59" i="1"/>
  <c r="IA59" i="1"/>
  <c r="IB59" i="1" s="1"/>
  <c r="PC59" i="1"/>
  <c r="VN59" i="1"/>
  <c r="WC59" i="1" s="1"/>
  <c r="YR59" i="1" s="1"/>
  <c r="QW59" i="1"/>
  <c r="QX59" i="1" s="1"/>
  <c r="TZ59" i="1" s="1"/>
  <c r="QQ59" i="1"/>
  <c r="QS59" i="1" s="1"/>
  <c r="YM59" i="1"/>
  <c r="YD59" i="1"/>
  <c r="VD59" i="1"/>
  <c r="YB59" i="1" s="1"/>
  <c r="MV59" i="1"/>
  <c r="VE59" i="1"/>
  <c r="YC59" i="1" s="1"/>
  <c r="NC59" i="1"/>
  <c r="VF59" i="1"/>
  <c r="NK59" i="1"/>
  <c r="VG59" i="1"/>
  <c r="XZ59" i="1" s="1"/>
  <c r="NR59" i="1"/>
  <c r="VC59" i="1"/>
  <c r="XX59" i="1" s="1"/>
  <c r="NY59" i="1"/>
  <c r="OS59" i="1"/>
  <c r="OM59" i="1"/>
  <c r="UI59" i="1"/>
  <c r="UF59" i="1"/>
  <c r="TN59" i="1"/>
  <c r="AAY56" i="1"/>
  <c r="ADH56" i="1" s="1"/>
  <c r="ZC56" i="1"/>
  <c r="JX56" i="1"/>
  <c r="ZM56" i="1"/>
  <c r="IL56" i="1"/>
  <c r="IK56" i="1"/>
  <c r="FX56" i="1"/>
  <c r="ER56" i="1"/>
  <c r="EC56" i="1"/>
  <c r="CN56" i="1"/>
  <c r="CO56" i="1" s="1"/>
  <c r="BX56" i="1"/>
  <c r="AAV56" i="1"/>
  <c r="BL56" i="1"/>
  <c r="ABJ55" i="1"/>
  <c r="ZI55" i="1"/>
  <c r="ZH58" i="1"/>
  <c r="ZJ58" i="1" s="1"/>
  <c r="ABI58" i="1"/>
  <c r="ABL58" i="1" s="1"/>
  <c r="MR58" i="1"/>
  <c r="MS58" i="1" s="1"/>
  <c r="ER57" i="1"/>
  <c r="JX57" i="1"/>
  <c r="EV57" i="1"/>
  <c r="EW57" i="1" s="1"/>
  <c r="EH57" i="1"/>
  <c r="FG57" i="1"/>
  <c r="YE56" i="1"/>
  <c r="UF56" i="1"/>
  <c r="TN56" i="1"/>
  <c r="UI56" i="1"/>
  <c r="OM56" i="1"/>
  <c r="OS56" i="1"/>
  <c r="NY56" i="1"/>
  <c r="VC56" i="1"/>
  <c r="XX56" i="1" s="1"/>
  <c r="NR56" i="1"/>
  <c r="VG56" i="1"/>
  <c r="XZ56" i="1" s="1"/>
  <c r="VF56" i="1"/>
  <c r="NK56" i="1"/>
  <c r="NC56" i="1"/>
  <c r="VE56" i="1"/>
  <c r="YC56" i="1" s="1"/>
  <c r="VD56" i="1"/>
  <c r="YB56" i="1" s="1"/>
  <c r="MV56" i="1"/>
  <c r="KX56" i="1"/>
  <c r="JC56" i="1"/>
  <c r="GL56" i="1"/>
  <c r="EV56" i="1"/>
  <c r="EW56" i="1" s="1"/>
  <c r="EH56" i="1"/>
  <c r="CH56" i="1"/>
  <c r="YP55" i="1"/>
  <c r="YA55" i="1"/>
  <c r="XY55" i="1" s="1"/>
  <c r="EH55" i="1"/>
  <c r="EV55" i="1"/>
  <c r="EW55" i="1" s="1"/>
  <c r="VK55" i="1"/>
  <c r="AD55" i="1"/>
  <c r="AE55" i="1"/>
  <c r="AAV58" i="1"/>
  <c r="BL58" i="1"/>
  <c r="YL56" i="1"/>
  <c r="XW56" i="1"/>
  <c r="XV56" i="1" s="1"/>
  <c r="UI54" i="1"/>
  <c r="UF54" i="1"/>
  <c r="TN54" i="1"/>
  <c r="OS54" i="1"/>
  <c r="OM54" i="1"/>
  <c r="AAY54" i="1"/>
  <c r="ADH54" i="1" s="1"/>
  <c r="ZC54" i="1"/>
  <c r="ABG54" i="1"/>
  <c r="ADK54" i="1" s="1"/>
  <c r="ZG54" i="1"/>
  <c r="ZF54" i="1"/>
  <c r="ABD54" i="1"/>
  <c r="ABB54" i="1"/>
  <c r="ADN54" i="1" s="1"/>
  <c r="ZE54" i="1"/>
  <c r="ZD54" i="1"/>
  <c r="ABA54" i="1"/>
  <c r="ADM54" i="1" s="1"/>
  <c r="GL54" i="1"/>
  <c r="DO54" i="1"/>
  <c r="CE54" i="1"/>
  <c r="YM53" i="1"/>
  <c r="YD53" i="1"/>
  <c r="QW53" i="1"/>
  <c r="QX53" i="1" s="1"/>
  <c r="TZ53" i="1" s="1"/>
  <c r="QQ53" i="1"/>
  <c r="QS53" i="1" s="1"/>
  <c r="VN53" i="1"/>
  <c r="WC53" i="1" s="1"/>
  <c r="YR53" i="1" s="1"/>
  <c r="PC53" i="1"/>
  <c r="JX53" i="1"/>
  <c r="ZM53" i="1"/>
  <c r="IL53" i="1"/>
  <c r="IK53" i="1"/>
  <c r="FX53" i="1"/>
  <c r="ER53" i="1"/>
  <c r="EC53" i="1"/>
  <c r="SH53" i="1"/>
  <c r="SF53" i="1"/>
  <c r="SJ53" i="1" s="1"/>
  <c r="ABU52" i="1"/>
  <c r="ZP52" i="1"/>
  <c r="OX52" i="1"/>
  <c r="VC52" i="1"/>
  <c r="XX52" i="1" s="1"/>
  <c r="NY52" i="1"/>
  <c r="VG52" i="1"/>
  <c r="XZ52" i="1" s="1"/>
  <c r="NR52" i="1"/>
  <c r="VF52" i="1"/>
  <c r="NK52" i="1"/>
  <c r="VE52" i="1"/>
  <c r="YC52" i="1" s="1"/>
  <c r="NC52" i="1"/>
  <c r="VD52" i="1"/>
  <c r="YB52" i="1" s="1"/>
  <c r="MV52" i="1"/>
  <c r="ABI52" i="1"/>
  <c r="MR52" i="1"/>
  <c r="MS52" i="1" s="1"/>
  <c r="ZH52" i="1"/>
  <c r="KX52" i="1"/>
  <c r="GL52" i="1"/>
  <c r="CN52" i="1"/>
  <c r="CO52" i="1" s="1"/>
  <c r="BX52" i="1"/>
  <c r="AAV52" i="1"/>
  <c r="BL52" i="1"/>
  <c r="AAY51" i="1"/>
  <c r="ADH51" i="1" s="1"/>
  <c r="ZC51" i="1"/>
  <c r="JQ51" i="1"/>
  <c r="IA51" i="1"/>
  <c r="IB51" i="1" s="1"/>
  <c r="CY51" i="1"/>
  <c r="KB51" i="1"/>
  <c r="KC51" i="1" s="1"/>
  <c r="JU51" i="1"/>
  <c r="JV51" i="1" s="1"/>
  <c r="IX51" i="1"/>
  <c r="IQ51" i="1"/>
  <c r="IR51" i="1" s="1"/>
  <c r="GF51" i="1"/>
  <c r="GB51" i="1"/>
  <c r="GC51" i="1" s="1"/>
  <c r="FU51" i="1"/>
  <c r="FV51" i="1" s="1"/>
  <c r="FS51" i="1"/>
  <c r="FT51" i="1" s="1"/>
  <c r="EZ51" i="1"/>
  <c r="EO51" i="1"/>
  <c r="EP51" i="1" s="1"/>
  <c r="JL51" i="1"/>
  <c r="JG51" i="1"/>
  <c r="JH51" i="1" s="1"/>
  <c r="FO51" i="1"/>
  <c r="FK51" i="1"/>
  <c r="FL51" i="1" s="1"/>
  <c r="ABW51" i="1" s="1"/>
  <c r="FD51" i="1"/>
  <c r="FE51" i="1" s="1"/>
  <c r="EK51" i="1"/>
  <c r="EG51" i="1"/>
  <c r="ZH55" i="1"/>
  <c r="ZJ55" i="1" s="1"/>
  <c r="ABI55" i="1"/>
  <c r="ABL55" i="1" s="1"/>
  <c r="MR55" i="1"/>
  <c r="MS55" i="1" s="1"/>
  <c r="JQ54" i="1"/>
  <c r="IA54" i="1"/>
  <c r="IB54" i="1" s="1"/>
  <c r="ADV54" i="1"/>
  <c r="ADF54" i="1"/>
  <c r="ADE54" i="1" s="1"/>
  <c r="AAT54" i="1"/>
  <c r="EC54" i="1"/>
  <c r="CN54" i="1"/>
  <c r="CO54" i="1" s="1"/>
  <c r="BX54" i="1"/>
  <c r="YE53" i="1"/>
  <c r="VO53" i="1"/>
  <c r="UF53" i="1"/>
  <c r="TN53" i="1"/>
  <c r="UI53" i="1"/>
  <c r="SO53" i="1"/>
  <c r="NY53" i="1"/>
  <c r="VC53" i="1"/>
  <c r="XX53" i="1" s="1"/>
  <c r="NR53" i="1"/>
  <c r="VG53" i="1"/>
  <c r="XZ53" i="1" s="1"/>
  <c r="VF53" i="1"/>
  <c r="NK53" i="1"/>
  <c r="NC53" i="1"/>
  <c r="VE53" i="1"/>
  <c r="YC53" i="1" s="1"/>
  <c r="VD53" i="1"/>
  <c r="YB53" i="1" s="1"/>
  <c r="MV53" i="1"/>
  <c r="KX53" i="1"/>
  <c r="AAT52" i="1"/>
  <c r="ADV52" i="1"/>
  <c r="ADF52" i="1"/>
  <c r="YE52" i="1"/>
  <c r="QW52" i="1"/>
  <c r="QX52" i="1" s="1"/>
  <c r="TZ52" i="1" s="1"/>
  <c r="QQ52" i="1"/>
  <c r="QS52" i="1" s="1"/>
  <c r="VN52" i="1"/>
  <c r="WC52" i="1" s="1"/>
  <c r="YR52" i="1" s="1"/>
  <c r="PC52" i="1"/>
  <c r="JQ52" i="1"/>
  <c r="IA52" i="1"/>
  <c r="IB52" i="1" s="1"/>
  <c r="SN52" i="1"/>
  <c r="UY52" i="1" s="1"/>
  <c r="YE51" i="1"/>
  <c r="UF51" i="1"/>
  <c r="TN51" i="1"/>
  <c r="UI51" i="1"/>
  <c r="ZG51" i="1"/>
  <c r="ABG51" i="1"/>
  <c r="ADK51" i="1" s="1"/>
  <c r="ABD51" i="1"/>
  <c r="ZF51" i="1"/>
  <c r="ZE51" i="1"/>
  <c r="ABB51" i="1"/>
  <c r="ADN51" i="1" s="1"/>
  <c r="ABA51" i="1"/>
  <c r="ADM51" i="1" s="1"/>
  <c r="ZD51" i="1"/>
  <c r="SE51" i="1"/>
  <c r="CH51" i="1"/>
  <c r="BX51" i="1"/>
  <c r="CN51" i="1"/>
  <c r="CO51" i="1" s="1"/>
  <c r="ABP55" i="1"/>
  <c r="IN55" i="1"/>
  <c r="IO55" i="1" s="1"/>
  <c r="IM55" i="1"/>
  <c r="YM54" i="1"/>
  <c r="YD54" i="1"/>
  <c r="YE54" i="1"/>
  <c r="QW50" i="1"/>
  <c r="QX50" i="1" s="1"/>
  <c r="TZ50" i="1" s="1"/>
  <c r="QQ50" i="1"/>
  <c r="QS50" i="1" s="1"/>
  <c r="VN50" i="1"/>
  <c r="WC50" i="1" s="1"/>
  <c r="YR50" i="1" s="1"/>
  <c r="PC50" i="1"/>
  <c r="IA50" i="1"/>
  <c r="IB50" i="1" s="1"/>
  <c r="ADV50" i="1"/>
  <c r="ADF50" i="1"/>
  <c r="AAT50" i="1"/>
  <c r="CH50" i="1"/>
  <c r="CN50" i="1"/>
  <c r="CO50" i="1" s="1"/>
  <c r="BX50" i="1"/>
  <c r="YE49" i="1"/>
  <c r="UD49" i="1"/>
  <c r="UE49" i="1" s="1"/>
  <c r="OS49" i="1"/>
  <c r="OM49" i="1"/>
  <c r="VC49" i="1"/>
  <c r="XX49" i="1" s="1"/>
  <c r="NY49" i="1"/>
  <c r="JQ49" i="1"/>
  <c r="IA49" i="1"/>
  <c r="IB49" i="1" s="1"/>
  <c r="EC49" i="1"/>
  <c r="CN49" i="1"/>
  <c r="CO49" i="1" s="1"/>
  <c r="BX49" i="1"/>
  <c r="YE48" i="1"/>
  <c r="UD48" i="1"/>
  <c r="UE48" i="1" s="1"/>
  <c r="QW48" i="1"/>
  <c r="QX48" i="1" s="1"/>
  <c r="TZ48" i="1" s="1"/>
  <c r="QQ48" i="1"/>
  <c r="QS48" i="1" s="1"/>
  <c r="VN48" i="1"/>
  <c r="WC48" i="1" s="1"/>
  <c r="YR48" i="1" s="1"/>
  <c r="PC48" i="1"/>
  <c r="ABG48" i="1"/>
  <c r="ADK48" i="1" s="1"/>
  <c r="ZG48" i="1"/>
  <c r="ZF48" i="1"/>
  <c r="ABD48" i="1"/>
  <c r="ABB48" i="1"/>
  <c r="ADN48" i="1" s="1"/>
  <c r="ZE48" i="1"/>
  <c r="ZD48" i="1"/>
  <c r="ABA48" i="1"/>
  <c r="ADM48" i="1" s="1"/>
  <c r="SQ48" i="1"/>
  <c r="SS48" i="1" s="1"/>
  <c r="LA48" i="1"/>
  <c r="CK48" i="1" s="1"/>
  <c r="CN48" i="1"/>
  <c r="CO48" i="1" s="1"/>
  <c r="BX48" i="1"/>
  <c r="JG48" i="1"/>
  <c r="JH48" i="1" s="1"/>
  <c r="FK48" i="1"/>
  <c r="FL48" i="1" s="1"/>
  <c r="ABW48" i="1" s="1"/>
  <c r="EG48" i="1"/>
  <c r="JU48" i="1"/>
  <c r="JV48" i="1" s="1"/>
  <c r="JX48" i="1" s="1"/>
  <c r="IQ48" i="1"/>
  <c r="IR48" i="1" s="1"/>
  <c r="GB48" i="1"/>
  <c r="GC48" i="1" s="1"/>
  <c r="EC47" i="1"/>
  <c r="ST47" i="1" s="1"/>
  <c r="SV47" i="1" s="1"/>
  <c r="ABJ54" i="1"/>
  <c r="ZI54" i="1"/>
  <c r="YL51" i="1"/>
  <c r="XW51" i="1"/>
  <c r="UF50" i="1"/>
  <c r="UG50" i="1" s="1"/>
  <c r="TN50" i="1"/>
  <c r="UI50" i="1"/>
  <c r="UJ50" i="1" s="1"/>
  <c r="OM50" i="1"/>
  <c r="OS50" i="1"/>
  <c r="AAY50" i="1"/>
  <c r="ADH50" i="1" s="1"/>
  <c r="ZC50" i="1"/>
  <c r="ZG50" i="1"/>
  <c r="ABG50" i="1"/>
  <c r="ADK50" i="1" s="1"/>
  <c r="ABD50" i="1"/>
  <c r="ZF50" i="1"/>
  <c r="ZE50" i="1"/>
  <c r="ABB50" i="1"/>
  <c r="ADN50" i="1" s="1"/>
  <c r="ABA50" i="1"/>
  <c r="ADM50" i="1" s="1"/>
  <c r="ZD50" i="1"/>
  <c r="ABI50" i="1"/>
  <c r="ZH50" i="1"/>
  <c r="MR50" i="1"/>
  <c r="MS50" i="1" s="1"/>
  <c r="AAY49" i="1"/>
  <c r="ADH49" i="1" s="1"/>
  <c r="ZC49" i="1"/>
  <c r="VG49" i="1"/>
  <c r="XZ49" i="1" s="1"/>
  <c r="NR49" i="1"/>
  <c r="NK49" i="1"/>
  <c r="VF49" i="1"/>
  <c r="VE49" i="1"/>
  <c r="YC49" i="1" s="1"/>
  <c r="NC49" i="1"/>
  <c r="MV49" i="1"/>
  <c r="VD49" i="1"/>
  <c r="YB49" i="1" s="1"/>
  <c r="ZH49" i="1"/>
  <c r="ABI49" i="1"/>
  <c r="MR49" i="1"/>
  <c r="MS49" i="1" s="1"/>
  <c r="KX49" i="1"/>
  <c r="JC49" i="1"/>
  <c r="GL49" i="1"/>
  <c r="DO49" i="1"/>
  <c r="CE49" i="1"/>
  <c r="KB49" i="1"/>
  <c r="KC49" i="1" s="1"/>
  <c r="JU49" i="1"/>
  <c r="JV49" i="1" s="1"/>
  <c r="IX49" i="1"/>
  <c r="IQ49" i="1"/>
  <c r="IR49" i="1" s="1"/>
  <c r="GF49" i="1"/>
  <c r="GB49" i="1"/>
  <c r="GC49" i="1" s="1"/>
  <c r="FU49" i="1"/>
  <c r="FV49" i="1" s="1"/>
  <c r="FS49" i="1"/>
  <c r="FT49" i="1" s="1"/>
  <c r="EZ49" i="1"/>
  <c r="EO49" i="1"/>
  <c r="EP49" i="1" s="1"/>
  <c r="JL49" i="1"/>
  <c r="JG49" i="1"/>
  <c r="JH49" i="1" s="1"/>
  <c r="FO49" i="1"/>
  <c r="FK49" i="1"/>
  <c r="FL49" i="1" s="1"/>
  <c r="ABW49" i="1" s="1"/>
  <c r="FD49" i="1"/>
  <c r="FE49" i="1" s="1"/>
  <c r="EK49" i="1"/>
  <c r="EG49" i="1"/>
  <c r="YM48" i="1"/>
  <c r="YD48" i="1"/>
  <c r="OM48" i="1"/>
  <c r="OS48" i="1"/>
  <c r="VC48" i="1"/>
  <c r="XX48" i="1" s="1"/>
  <c r="NY48" i="1"/>
  <c r="KY48" i="1"/>
  <c r="KZ48" i="1" s="1"/>
  <c r="IK48" i="1"/>
  <c r="ZM48" i="1"/>
  <c r="IL48" i="1"/>
  <c r="SH48" i="1"/>
  <c r="SF48" i="1"/>
  <c r="SJ48" i="1" s="1"/>
  <c r="EA48" i="1"/>
  <c r="SN48" i="1"/>
  <c r="UY48" i="1" s="1"/>
  <c r="ADZ47" i="1"/>
  <c r="ADL47" i="1"/>
  <c r="ABJ46" i="1"/>
  <c r="ZI46" i="1"/>
  <c r="ABI51" i="1"/>
  <c r="ABL51" i="1" s="1"/>
  <c r="ZH51" i="1"/>
  <c r="ZJ51" i="1" s="1"/>
  <c r="MR51" i="1"/>
  <c r="MS51" i="1" s="1"/>
  <c r="JQ46" i="1"/>
  <c r="IA46" i="1"/>
  <c r="IB46" i="1" s="1"/>
  <c r="ADV46" i="1"/>
  <c r="ADF46" i="1"/>
  <c r="AAT46" i="1"/>
  <c r="EA46" i="1"/>
  <c r="YE45" i="1"/>
  <c r="UD45" i="1"/>
  <c r="UE45" i="1" s="1"/>
  <c r="QW45" i="1"/>
  <c r="QX45" i="1" s="1"/>
  <c r="TZ45" i="1" s="1"/>
  <c r="QQ45" i="1"/>
  <c r="QS45" i="1" s="1"/>
  <c r="VN45" i="1"/>
  <c r="WC45" i="1" s="1"/>
  <c r="YR45" i="1" s="1"/>
  <c r="PC45" i="1"/>
  <c r="JQ45" i="1"/>
  <c r="IA45" i="1"/>
  <c r="IB45" i="1" s="1"/>
  <c r="GT45" i="1"/>
  <c r="CD45" i="1"/>
  <c r="YE44" i="1"/>
  <c r="UD44" i="1"/>
  <c r="UE44" i="1" s="1"/>
  <c r="QW44" i="1"/>
  <c r="QX44" i="1" s="1"/>
  <c r="TZ44" i="1" s="1"/>
  <c r="QQ44" i="1"/>
  <c r="QS44" i="1" s="1"/>
  <c r="VN44" i="1"/>
  <c r="WC44" i="1" s="1"/>
  <c r="YR44" i="1" s="1"/>
  <c r="PC44" i="1"/>
  <c r="JQ44" i="1"/>
  <c r="IA44" i="1"/>
  <c r="IB44" i="1" s="1"/>
  <c r="GT44" i="1"/>
  <c r="CD44" i="1"/>
  <c r="YE43" i="1"/>
  <c r="UD43" i="1"/>
  <c r="UE43" i="1" s="1"/>
  <c r="QW43" i="1"/>
  <c r="QX43" i="1" s="1"/>
  <c r="TZ43" i="1" s="1"/>
  <c r="QQ43" i="1"/>
  <c r="QS43" i="1" s="1"/>
  <c r="VN43" i="1"/>
  <c r="WC43" i="1" s="1"/>
  <c r="YR43" i="1" s="1"/>
  <c r="PC43" i="1"/>
  <c r="JQ43" i="1"/>
  <c r="IA43" i="1"/>
  <c r="IB43" i="1" s="1"/>
  <c r="FG43" i="1"/>
  <c r="EV43" i="1"/>
  <c r="EW43" i="1" s="1"/>
  <c r="EH43" i="1"/>
  <c r="YE42" i="1"/>
  <c r="UD42" i="1"/>
  <c r="UE42" i="1" s="1"/>
  <c r="QW42" i="1"/>
  <c r="QX42" i="1" s="1"/>
  <c r="TZ42" i="1" s="1"/>
  <c r="QQ42" i="1"/>
  <c r="QS42" i="1" s="1"/>
  <c r="VN42" i="1"/>
  <c r="WC42" i="1" s="1"/>
  <c r="YR42" i="1" s="1"/>
  <c r="PC42" i="1"/>
  <c r="JQ42" i="1"/>
  <c r="IA42" i="1"/>
  <c r="IB42" i="1" s="1"/>
  <c r="CW42" i="1"/>
  <c r="CN42" i="1"/>
  <c r="CO42" i="1" s="1"/>
  <c r="BX42" i="1"/>
  <c r="AAV42" i="1"/>
  <c r="BL42" i="1"/>
  <c r="YE41" i="1"/>
  <c r="UD41" i="1"/>
  <c r="UE41" i="1" s="1"/>
  <c r="QW41" i="1"/>
  <c r="QX41" i="1" s="1"/>
  <c r="TZ41" i="1" s="1"/>
  <c r="QQ41" i="1"/>
  <c r="QS41" i="1" s="1"/>
  <c r="VN41" i="1"/>
  <c r="WC41" i="1" s="1"/>
  <c r="YR41" i="1" s="1"/>
  <c r="PC41" i="1"/>
  <c r="IL41" i="1"/>
  <c r="ZM41" i="1"/>
  <c r="IK41" i="1"/>
  <c r="CD41" i="1"/>
  <c r="KB41" i="1"/>
  <c r="KC41" i="1" s="1"/>
  <c r="JU41" i="1"/>
  <c r="JV41" i="1" s="1"/>
  <c r="IX41" i="1"/>
  <c r="IQ41" i="1"/>
  <c r="IR41" i="1" s="1"/>
  <c r="GF41" i="1"/>
  <c r="GB41" i="1"/>
  <c r="GC41" i="1" s="1"/>
  <c r="FU41" i="1"/>
  <c r="FV41" i="1" s="1"/>
  <c r="FS41" i="1"/>
  <c r="FT41" i="1" s="1"/>
  <c r="EZ41" i="1"/>
  <c r="FB41" i="1" s="1"/>
  <c r="EO41" i="1"/>
  <c r="EP41" i="1" s="1"/>
  <c r="JL41" i="1"/>
  <c r="JG41" i="1"/>
  <c r="JH41" i="1" s="1"/>
  <c r="FO41" i="1"/>
  <c r="FQ41" i="1" s="1"/>
  <c r="FK41" i="1"/>
  <c r="FL41" i="1" s="1"/>
  <c r="ABW41" i="1" s="1"/>
  <c r="FD41" i="1"/>
  <c r="FE41" i="1" s="1"/>
  <c r="EK41" i="1"/>
  <c r="EM41" i="1" s="1"/>
  <c r="EG41" i="1"/>
  <c r="JQ40" i="1"/>
  <c r="IA40" i="1"/>
  <c r="IB40" i="1" s="1"/>
  <c r="GX40" i="1"/>
  <c r="UI39" i="1"/>
  <c r="UF39" i="1"/>
  <c r="TN39" i="1"/>
  <c r="JQ39" i="1"/>
  <c r="IA39" i="1"/>
  <c r="IB39" i="1" s="1"/>
  <c r="ABN39" i="1"/>
  <c r="GH39" i="1"/>
  <c r="ZH47" i="1"/>
  <c r="ABI47" i="1"/>
  <c r="MR47" i="1"/>
  <c r="MS47" i="1" s="1"/>
  <c r="YL46" i="1"/>
  <c r="XW46" i="1"/>
  <c r="ZD46" i="1"/>
  <c r="ABA46" i="1"/>
  <c r="ADM46" i="1" s="1"/>
  <c r="ABB46" i="1"/>
  <c r="ADN46" i="1" s="1"/>
  <c r="ZE46" i="1"/>
  <c r="ZF46" i="1"/>
  <c r="ABD46" i="1"/>
  <c r="ABG46" i="1"/>
  <c r="ADK46" i="1" s="1"/>
  <c r="ZG46" i="1"/>
  <c r="VN46" i="1"/>
  <c r="WC46" i="1" s="1"/>
  <c r="YR46" i="1" s="1"/>
  <c r="PC46" i="1"/>
  <c r="UD46" i="1"/>
  <c r="UE46" i="1" s="1"/>
  <c r="YE46" i="1"/>
  <c r="VO46" i="1"/>
  <c r="GL46" i="1"/>
  <c r="BX46" i="1"/>
  <c r="CN46" i="1"/>
  <c r="CO46" i="1" s="1"/>
  <c r="KB46" i="1"/>
  <c r="KC46" i="1" s="1"/>
  <c r="JU46" i="1"/>
  <c r="JV46" i="1" s="1"/>
  <c r="IX46" i="1"/>
  <c r="IQ46" i="1"/>
  <c r="IR46" i="1" s="1"/>
  <c r="GF46" i="1"/>
  <c r="GB46" i="1"/>
  <c r="GC46" i="1" s="1"/>
  <c r="JL46" i="1"/>
  <c r="JG46" i="1"/>
  <c r="JH46" i="1" s="1"/>
  <c r="FO46" i="1"/>
  <c r="FK46" i="1"/>
  <c r="FL46" i="1" s="1"/>
  <c r="ABW46" i="1" s="1"/>
  <c r="EZ46" i="1"/>
  <c r="EK46" i="1"/>
  <c r="EG46" i="1"/>
  <c r="YM45" i="1"/>
  <c r="YD45" i="1"/>
  <c r="OM45" i="1"/>
  <c r="OS45" i="1"/>
  <c r="AAY45" i="1"/>
  <c r="ADH45" i="1" s="1"/>
  <c r="ZC45" i="1"/>
  <c r="ABG45" i="1"/>
  <c r="ADK45" i="1" s="1"/>
  <c r="ZG45" i="1"/>
  <c r="ABD45" i="1"/>
  <c r="ZF45" i="1"/>
  <c r="ABB45" i="1"/>
  <c r="ADN45" i="1" s="1"/>
  <c r="ZE45" i="1"/>
  <c r="ABA45" i="1"/>
  <c r="ADM45" i="1" s="1"/>
  <c r="ZD45" i="1"/>
  <c r="JC45" i="1"/>
  <c r="DO45" i="1"/>
  <c r="CH45" i="1"/>
  <c r="YM44" i="1"/>
  <c r="YD44" i="1"/>
  <c r="OM44" i="1"/>
  <c r="OS44" i="1"/>
  <c r="AAY44" i="1"/>
  <c r="ADH44" i="1" s="1"/>
  <c r="ZC44" i="1"/>
  <c r="ABG44" i="1"/>
  <c r="ADK44" i="1" s="1"/>
  <c r="ZG44" i="1"/>
  <c r="ABD44" i="1"/>
  <c r="ZF44" i="1"/>
  <c r="ABB44" i="1"/>
  <c r="ADN44" i="1" s="1"/>
  <c r="ZE44" i="1"/>
  <c r="ABA44" i="1"/>
  <c r="ADM44" i="1" s="1"/>
  <c r="ZD44" i="1"/>
  <c r="JC44" i="1"/>
  <c r="VC43" i="1"/>
  <c r="XX43" i="1" s="1"/>
  <c r="NY43" i="1"/>
  <c r="VG43" i="1"/>
  <c r="XZ43" i="1" s="1"/>
  <c r="NR43" i="1"/>
  <c r="NK43" i="1"/>
  <c r="VF43" i="1"/>
  <c r="VE43" i="1"/>
  <c r="YC43" i="1" s="1"/>
  <c r="NC43" i="1"/>
  <c r="MV43" i="1"/>
  <c r="VD43" i="1"/>
  <c r="YB43" i="1" s="1"/>
  <c r="GT43" i="1"/>
  <c r="ER43" i="1"/>
  <c r="SD43" i="1"/>
  <c r="CD43" i="1"/>
  <c r="VC42" i="1"/>
  <c r="XX42" i="1" s="1"/>
  <c r="NY42" i="1"/>
  <c r="VG42" i="1"/>
  <c r="XZ42" i="1" s="1"/>
  <c r="NR42" i="1"/>
  <c r="NK42" i="1"/>
  <c r="VF42" i="1"/>
  <c r="VE42" i="1"/>
  <c r="YC42" i="1" s="1"/>
  <c r="NC42" i="1"/>
  <c r="MV42" i="1"/>
  <c r="VD42" i="1"/>
  <c r="YB42" i="1" s="1"/>
  <c r="ZH42" i="1"/>
  <c r="ABI42" i="1"/>
  <c r="MR42" i="1"/>
  <c r="MS42" i="1" s="1"/>
  <c r="YM41" i="1"/>
  <c r="YD41" i="1"/>
  <c r="OM41" i="1"/>
  <c r="OS41" i="1"/>
  <c r="AAY41" i="1"/>
  <c r="ADH41" i="1" s="1"/>
  <c r="ZC41" i="1"/>
  <c r="ABG41" i="1"/>
  <c r="ADK41" i="1" s="1"/>
  <c r="ZG41" i="1"/>
  <c r="ZF41" i="1"/>
  <c r="ABD41" i="1"/>
  <c r="ABB41" i="1"/>
  <c r="ADN41" i="1" s="1"/>
  <c r="ZE41" i="1"/>
  <c r="ZD41" i="1"/>
  <c r="ABA41" i="1"/>
  <c r="ADM41" i="1" s="1"/>
  <c r="JC41" i="1"/>
  <c r="DO41" i="1"/>
  <c r="CH41" i="1"/>
  <c r="UD40" i="1"/>
  <c r="UE40" i="1"/>
  <c r="OM40" i="1"/>
  <c r="OS40" i="1"/>
  <c r="AAY40" i="1"/>
  <c r="ADH40" i="1" s="1"/>
  <c r="ZC40" i="1"/>
  <c r="ZG40" i="1"/>
  <c r="ABG40" i="1"/>
  <c r="ADK40" i="1" s="1"/>
  <c r="ABD40" i="1"/>
  <c r="ZF40" i="1"/>
  <c r="ZE40" i="1"/>
  <c r="ABB40" i="1"/>
  <c r="ADN40" i="1" s="1"/>
  <c r="ABA40" i="1"/>
  <c r="ADM40" i="1" s="1"/>
  <c r="ZD40" i="1"/>
  <c r="JC40" i="1"/>
  <c r="BX40" i="1"/>
  <c r="CN40" i="1"/>
  <c r="CO40" i="1" s="1"/>
  <c r="VC39" i="1"/>
  <c r="XX39" i="1" s="1"/>
  <c r="NY39" i="1"/>
  <c r="VG39" i="1"/>
  <c r="XZ39" i="1" s="1"/>
  <c r="NR39" i="1"/>
  <c r="NK39" i="1"/>
  <c r="VF39" i="1"/>
  <c r="VE39" i="1"/>
  <c r="YC39" i="1" s="1"/>
  <c r="NC39" i="1"/>
  <c r="MV39" i="1"/>
  <c r="VD39" i="1"/>
  <c r="YB39" i="1" s="1"/>
  <c r="ZH39" i="1"/>
  <c r="ABI39" i="1"/>
  <c r="MR39" i="1"/>
  <c r="MS39" i="1" s="1"/>
  <c r="EH39" i="1"/>
  <c r="EV39" i="1"/>
  <c r="EW39" i="1" s="1"/>
  <c r="BX39" i="1"/>
  <c r="CN39" i="1"/>
  <c r="CO39" i="1" s="1"/>
  <c r="YL38" i="1"/>
  <c r="XW38" i="1"/>
  <c r="GX38" i="1"/>
  <c r="ABP47" i="1"/>
  <c r="IN47" i="1"/>
  <c r="IO47" i="1" s="1"/>
  <c r="IM47" i="1"/>
  <c r="ZH46" i="1"/>
  <c r="ZJ46" i="1" s="1"/>
  <c r="MR46" i="1"/>
  <c r="MS46" i="1" s="1"/>
  <c r="ABI46" i="1"/>
  <c r="ABL46" i="1" s="1"/>
  <c r="ADV38" i="1"/>
  <c r="ADF38" i="1"/>
  <c r="AAT38" i="1"/>
  <c r="CH38" i="1"/>
  <c r="CN38" i="1"/>
  <c r="CO38" i="1" s="1"/>
  <c r="BX38" i="1"/>
  <c r="AAV38" i="1"/>
  <c r="BL38" i="1"/>
  <c r="YE37" i="1"/>
  <c r="UD37" i="1"/>
  <c r="UE37" i="1" s="1"/>
  <c r="QW37" i="1"/>
  <c r="QX37" i="1" s="1"/>
  <c r="TZ37" i="1" s="1"/>
  <c r="QQ37" i="1"/>
  <c r="QS37" i="1" s="1"/>
  <c r="VN37" i="1"/>
  <c r="WC37" i="1" s="1"/>
  <c r="YR37" i="1" s="1"/>
  <c r="PC37" i="1"/>
  <c r="IL37" i="1"/>
  <c r="ZM37" i="1"/>
  <c r="IK37" i="1"/>
  <c r="KB37" i="1"/>
  <c r="KC37" i="1" s="1"/>
  <c r="JU37" i="1"/>
  <c r="JV37" i="1" s="1"/>
  <c r="IX37" i="1"/>
  <c r="IQ37" i="1"/>
  <c r="IR37" i="1" s="1"/>
  <c r="GF37" i="1"/>
  <c r="GB37" i="1"/>
  <c r="GC37" i="1" s="1"/>
  <c r="FU37" i="1"/>
  <c r="FV37" i="1" s="1"/>
  <c r="FS37" i="1"/>
  <c r="FT37" i="1" s="1"/>
  <c r="EZ37" i="1"/>
  <c r="FB37" i="1" s="1"/>
  <c r="EO37" i="1"/>
  <c r="EP37" i="1" s="1"/>
  <c r="JL37" i="1"/>
  <c r="JG37" i="1"/>
  <c r="JH37" i="1" s="1"/>
  <c r="FO37" i="1"/>
  <c r="FQ37" i="1" s="1"/>
  <c r="FK37" i="1"/>
  <c r="FL37" i="1" s="1"/>
  <c r="ABW37" i="1" s="1"/>
  <c r="FD37" i="1"/>
  <c r="FE37" i="1" s="1"/>
  <c r="EK37" i="1"/>
  <c r="EM37" i="1" s="1"/>
  <c r="EG37" i="1"/>
  <c r="YM35" i="1"/>
  <c r="YD35" i="1"/>
  <c r="OS35" i="1"/>
  <c r="OM35" i="1"/>
  <c r="AAY35" i="1"/>
  <c r="ADH35" i="1" s="1"/>
  <c r="ZC35" i="1"/>
  <c r="ZG35" i="1"/>
  <c r="ABG35" i="1"/>
  <c r="ADK35" i="1" s="1"/>
  <c r="ABD35" i="1"/>
  <c r="ZF35" i="1"/>
  <c r="ZE35" i="1"/>
  <c r="ABB35" i="1"/>
  <c r="ADN35" i="1" s="1"/>
  <c r="ABA35" i="1"/>
  <c r="ADM35" i="1" s="1"/>
  <c r="ZD35" i="1"/>
  <c r="JC35" i="1"/>
  <c r="GT35" i="1"/>
  <c r="CD35" i="1"/>
  <c r="JL35" i="1"/>
  <c r="JG35" i="1"/>
  <c r="JH35" i="1" s="1"/>
  <c r="FO35" i="1"/>
  <c r="FQ35" i="1" s="1"/>
  <c r="FK35" i="1"/>
  <c r="FL35" i="1" s="1"/>
  <c r="ABW35" i="1" s="1"/>
  <c r="EZ35" i="1"/>
  <c r="FB35" i="1" s="1"/>
  <c r="EK35" i="1"/>
  <c r="EM35" i="1" s="1"/>
  <c r="EG35" i="1"/>
  <c r="KB35" i="1"/>
  <c r="KC35" i="1" s="1"/>
  <c r="JU35" i="1"/>
  <c r="JV35" i="1" s="1"/>
  <c r="IX35" i="1"/>
  <c r="IQ35" i="1"/>
  <c r="IR35" i="1" s="1"/>
  <c r="GF35" i="1"/>
  <c r="GB35" i="1"/>
  <c r="GC35" i="1" s="1"/>
  <c r="OS34" i="1"/>
  <c r="OM34" i="1"/>
  <c r="AAY34" i="1"/>
  <c r="ADH34" i="1" s="1"/>
  <c r="ZC34" i="1"/>
  <c r="ZG34" i="1"/>
  <c r="ABG34" i="1"/>
  <c r="ADK34" i="1" s="1"/>
  <c r="ABU33" i="1"/>
  <c r="ZP33" i="1"/>
  <c r="OX33" i="1"/>
  <c r="ABU38" i="1"/>
  <c r="ZP38" i="1"/>
  <c r="OX38" i="1"/>
  <c r="OX25" i="1"/>
  <c r="ABU25" i="1"/>
  <c r="ZP25" i="1"/>
  <c r="LH14" i="1"/>
  <c r="LI14" i="1" s="1"/>
  <c r="LB14" i="1"/>
  <c r="UX14" i="1"/>
  <c r="LC14" i="1"/>
  <c r="KY14" i="1"/>
  <c r="KZ14" i="1" s="1"/>
  <c r="JY14" i="1"/>
  <c r="JZ14" i="1" s="1"/>
  <c r="DP14" i="1"/>
  <c r="DQ14" i="1" s="1"/>
  <c r="CZ14" i="1"/>
  <c r="DA14" i="1" s="1"/>
  <c r="CK14" i="1"/>
  <c r="ED14" i="1"/>
  <c r="EE14" i="1" s="1"/>
  <c r="FH14" i="1"/>
  <c r="FI14" i="1" s="1"/>
  <c r="ES14" i="1"/>
  <c r="ET14" i="1" s="1"/>
  <c r="JR14" i="1"/>
  <c r="JS14" i="1" s="1"/>
  <c r="PF14" i="1"/>
  <c r="ZN59" i="1"/>
  <c r="SE58" i="1"/>
  <c r="SD58" i="1"/>
  <c r="KH57" i="1"/>
  <c r="BJ57" i="1"/>
  <c r="ABN55" i="1"/>
  <c r="SG55" i="1"/>
  <c r="QN54" i="1"/>
  <c r="QW54" i="1" s="1"/>
  <c r="QX54" i="1" s="1"/>
  <c r="TZ54" i="1" s="1"/>
  <c r="RZ52" i="1"/>
  <c r="SA52" i="1" s="1"/>
  <c r="ABN52" i="1"/>
  <c r="ADE56" i="1"/>
  <c r="ZN55" i="1"/>
  <c r="SP52" i="1"/>
  <c r="FH48" i="1"/>
  <c r="FI48" i="1" s="1"/>
  <c r="ES48" i="1"/>
  <c r="ET48" i="1" s="1"/>
  <c r="ED48" i="1"/>
  <c r="EE48" i="1" s="1"/>
  <c r="CZ48" i="1"/>
  <c r="DA48" i="1" s="1"/>
  <c r="BJ54" i="1"/>
  <c r="ZN53" i="1"/>
  <c r="BJ51" i="1"/>
  <c r="ZN51" i="1"/>
  <c r="JY48" i="1"/>
  <c r="JZ48" i="1" s="1"/>
  <c r="GM48" i="1"/>
  <c r="GN48" i="1" s="1"/>
  <c r="FY48" i="1"/>
  <c r="FZ48" i="1" s="1"/>
  <c r="SP47" i="1"/>
  <c r="SF52" i="1"/>
  <c r="SJ52" i="1" s="1"/>
  <c r="VJ51" i="1"/>
  <c r="ADE49" i="1"/>
  <c r="BJ49" i="1"/>
  <c r="BJ48" i="1"/>
  <c r="SN47" i="1"/>
  <c r="SE48" i="1"/>
  <c r="ABN47" i="1"/>
  <c r="SG47" i="1"/>
  <c r="BJ50" i="1"/>
  <c r="ZN50" i="1"/>
  <c r="XV49" i="1"/>
  <c r="ZN47" i="1"/>
  <c r="ZH60" i="1"/>
  <c r="ABI60" i="1"/>
  <c r="MR60" i="1"/>
  <c r="MS60" i="1" s="1"/>
  <c r="YL60" i="1"/>
  <c r="XW60" i="1"/>
  <c r="XV60" i="1" s="1"/>
  <c r="CH60" i="1"/>
  <c r="ZD60" i="1"/>
  <c r="ABA60" i="1"/>
  <c r="ADM60" i="1" s="1"/>
  <c r="ABB60" i="1"/>
  <c r="ADN60" i="1" s="1"/>
  <c r="ZE60" i="1"/>
  <c r="ZF60" i="1"/>
  <c r="ABD60" i="1"/>
  <c r="ABG60" i="1"/>
  <c r="ADK60" i="1" s="1"/>
  <c r="ZG60" i="1"/>
  <c r="AAY60" i="1"/>
  <c r="ADH60" i="1" s="1"/>
  <c r="ZC60" i="1"/>
  <c r="JU60" i="1"/>
  <c r="JV60" i="1" s="1"/>
  <c r="IQ60" i="1"/>
  <c r="IR60" i="1" s="1"/>
  <c r="GB60" i="1"/>
  <c r="GC60" i="1" s="1"/>
  <c r="FU60" i="1"/>
  <c r="FV60" i="1" s="1"/>
  <c r="FS60" i="1"/>
  <c r="FT60" i="1" s="1"/>
  <c r="EO60" i="1"/>
  <c r="EP60" i="1" s="1"/>
  <c r="JG60" i="1"/>
  <c r="JH60" i="1" s="1"/>
  <c r="FK60" i="1"/>
  <c r="FL60" i="1" s="1"/>
  <c r="ABW60" i="1" s="1"/>
  <c r="FD60" i="1"/>
  <c r="FE60" i="1" s="1"/>
  <c r="EG60" i="1"/>
  <c r="SF60" i="1"/>
  <c r="SJ60" i="1" s="1"/>
  <c r="CW60" i="1"/>
  <c r="IL60" i="1"/>
  <c r="ZM60" i="1"/>
  <c r="IK60" i="1"/>
  <c r="JQ60" i="1"/>
  <c r="UG60" i="1"/>
  <c r="UJ60" i="1"/>
  <c r="UD60" i="1"/>
  <c r="UE60" i="1" s="1"/>
  <c r="YE60" i="1"/>
  <c r="VO60" i="1"/>
  <c r="ABJ59" i="1"/>
  <c r="ZI59" i="1"/>
  <c r="ABJ60" i="1"/>
  <c r="ZI60" i="1"/>
  <c r="YL59" i="1"/>
  <c r="XW59" i="1"/>
  <c r="XV59" i="1" s="1"/>
  <c r="SQ59" i="1"/>
  <c r="SS59" i="1" s="1"/>
  <c r="LA59" i="1"/>
  <c r="CK59" i="1" s="1"/>
  <c r="JL59" i="1"/>
  <c r="JG59" i="1"/>
  <c r="JH59" i="1" s="1"/>
  <c r="FO59" i="1"/>
  <c r="FK59" i="1"/>
  <c r="FL59" i="1" s="1"/>
  <c r="ABW59" i="1" s="1"/>
  <c r="FD59" i="1"/>
  <c r="FE59" i="1" s="1"/>
  <c r="FG59" i="1" s="1"/>
  <c r="EK59" i="1"/>
  <c r="EG59" i="1"/>
  <c r="KB59" i="1"/>
  <c r="KC59" i="1" s="1"/>
  <c r="JU59" i="1"/>
  <c r="JV59" i="1" s="1"/>
  <c r="JX59" i="1" s="1"/>
  <c r="IX59" i="1"/>
  <c r="IQ59" i="1"/>
  <c r="IR59" i="1" s="1"/>
  <c r="GF59" i="1"/>
  <c r="ABN59" i="1" s="1"/>
  <c r="GB59" i="1"/>
  <c r="GC59" i="1" s="1"/>
  <c r="FU59" i="1"/>
  <c r="FV59" i="1" s="1"/>
  <c r="FX59" i="1" s="1"/>
  <c r="FS59" i="1"/>
  <c r="FT59" i="1" s="1"/>
  <c r="EZ59" i="1"/>
  <c r="EO59" i="1"/>
  <c r="EP59" i="1" s="1"/>
  <c r="ER59" i="1" s="1"/>
  <c r="UI58" i="1"/>
  <c r="UJ58" i="1" s="1"/>
  <c r="SO58" i="1"/>
  <c r="UF58" i="1"/>
  <c r="UG58" i="1" s="1"/>
  <c r="TN58" i="1"/>
  <c r="ABU58" i="1"/>
  <c r="ZP58" i="1"/>
  <c r="OX58" i="1"/>
  <c r="OS58" i="1"/>
  <c r="OM58" i="1"/>
  <c r="VC58" i="1"/>
  <c r="XX58" i="1" s="1"/>
  <c r="NY58" i="1"/>
  <c r="IA58" i="1"/>
  <c r="IB58" i="1" s="1"/>
  <c r="RZ58" i="1"/>
  <c r="SA58" i="1" s="1"/>
  <c r="CE58" i="1"/>
  <c r="SC58" i="1" s="1"/>
  <c r="SG58" i="1" s="1"/>
  <c r="AAY57" i="1"/>
  <c r="ADH57" i="1" s="1"/>
  <c r="ADE57" i="1" s="1"/>
  <c r="ZC57" i="1"/>
  <c r="VG57" i="1"/>
  <c r="XZ57" i="1" s="1"/>
  <c r="NR57" i="1"/>
  <c r="VF57" i="1"/>
  <c r="NK57" i="1"/>
  <c r="VE57" i="1"/>
  <c r="YC57" i="1" s="1"/>
  <c r="NC57" i="1"/>
  <c r="VD57" i="1"/>
  <c r="YB57" i="1" s="1"/>
  <c r="MV57" i="1"/>
  <c r="ABI57" i="1"/>
  <c r="MR57" i="1"/>
  <c r="MS57" i="1" s="1"/>
  <c r="ZH57" i="1"/>
  <c r="KX57" i="1"/>
  <c r="JC57" i="1"/>
  <c r="GL57" i="1"/>
  <c r="DO57" i="1"/>
  <c r="ZH59" i="1"/>
  <c r="ZJ59" i="1" s="1"/>
  <c r="MR59" i="1"/>
  <c r="MS59" i="1" s="1"/>
  <c r="ABI59" i="1"/>
  <c r="ABL59" i="1" s="1"/>
  <c r="CH59" i="1"/>
  <c r="AAY58" i="1"/>
  <c r="ADH58" i="1" s="1"/>
  <c r="ZC58" i="1"/>
  <c r="VG58" i="1"/>
  <c r="XZ58" i="1" s="1"/>
  <c r="NR58" i="1"/>
  <c r="NK58" i="1"/>
  <c r="VF58" i="1"/>
  <c r="VE58" i="1"/>
  <c r="YC58" i="1" s="1"/>
  <c r="NC58" i="1"/>
  <c r="MV58" i="1"/>
  <c r="VD58" i="1"/>
  <c r="YB58" i="1" s="1"/>
  <c r="SQ58" i="1"/>
  <c r="SS58" i="1" s="1"/>
  <c r="LA58" i="1"/>
  <c r="CK58" i="1"/>
  <c r="BX58" i="1"/>
  <c r="KO58" i="1"/>
  <c r="CN58" i="1"/>
  <c r="CO58" i="1" s="1"/>
  <c r="YE57" i="1"/>
  <c r="VO57" i="1"/>
  <c r="UJ57" i="1"/>
  <c r="UD57" i="1"/>
  <c r="UG57" i="1"/>
  <c r="UE57" i="1"/>
  <c r="OM57" i="1"/>
  <c r="OS57" i="1"/>
  <c r="NY57" i="1"/>
  <c r="VC57" i="1"/>
  <c r="XX57" i="1" s="1"/>
  <c r="JQ57" i="1"/>
  <c r="IA57" i="1"/>
  <c r="IB57" i="1" s="1"/>
  <c r="CY57" i="1"/>
  <c r="SH57" i="1"/>
  <c r="SF57" i="1"/>
  <c r="SJ57" i="1" s="1"/>
  <c r="SH59" i="1"/>
  <c r="SF59" i="1"/>
  <c r="SJ59" i="1" s="1"/>
  <c r="CW59" i="1"/>
  <c r="CY59" i="1" s="1"/>
  <c r="IK59" i="1"/>
  <c r="ZM59" i="1"/>
  <c r="IL59" i="1"/>
  <c r="AAY59" i="1"/>
  <c r="ADH59" i="1" s="1"/>
  <c r="ZC59" i="1"/>
  <c r="ZD59" i="1"/>
  <c r="ABA59" i="1"/>
  <c r="ADM59" i="1" s="1"/>
  <c r="ABB59" i="1"/>
  <c r="ADN59" i="1" s="1"/>
  <c r="ZE59" i="1"/>
  <c r="ZF59" i="1"/>
  <c r="ABD59" i="1"/>
  <c r="ABG59" i="1"/>
  <c r="ADK59" i="1" s="1"/>
  <c r="ZG59" i="1"/>
  <c r="UG59" i="1"/>
  <c r="UJ59" i="1"/>
  <c r="UD59" i="1"/>
  <c r="UE59" i="1" s="1"/>
  <c r="YE59" i="1"/>
  <c r="VO59" i="1"/>
  <c r="YM56" i="1"/>
  <c r="YD56" i="1"/>
  <c r="QW56" i="1"/>
  <c r="QX56" i="1" s="1"/>
  <c r="TZ56" i="1" s="1"/>
  <c r="QQ56" i="1"/>
  <c r="QS56" i="1" s="1"/>
  <c r="VN56" i="1"/>
  <c r="WC56" i="1" s="1"/>
  <c r="YR56" i="1" s="1"/>
  <c r="PC56" i="1"/>
  <c r="JQ56" i="1"/>
  <c r="IA56" i="1"/>
  <c r="IB56" i="1" s="1"/>
  <c r="SH56" i="1"/>
  <c r="SF56" i="1"/>
  <c r="SJ56" i="1" s="1"/>
  <c r="CW56" i="1"/>
  <c r="EC55" i="1"/>
  <c r="ST55" i="1" s="1"/>
  <c r="SV55" i="1" s="1"/>
  <c r="ZI57" i="1"/>
  <c r="ABJ57" i="1"/>
  <c r="FX57" i="1"/>
  <c r="UJ56" i="1"/>
  <c r="UD56" i="1"/>
  <c r="UG56" i="1"/>
  <c r="UE56" i="1"/>
  <c r="ZG56" i="1"/>
  <c r="ABG56" i="1"/>
  <c r="ADK56" i="1" s="1"/>
  <c r="ABD56" i="1"/>
  <c r="ZF56" i="1"/>
  <c r="ZE56" i="1"/>
  <c r="ABB56" i="1"/>
  <c r="ADN56" i="1" s="1"/>
  <c r="ABA56" i="1"/>
  <c r="ADM56" i="1" s="1"/>
  <c r="ZD56" i="1"/>
  <c r="FG56" i="1"/>
  <c r="DO56" i="1"/>
  <c r="CE56" i="1"/>
  <c r="SC56" i="1" s="1"/>
  <c r="SG56" i="1" s="1"/>
  <c r="RZ56" i="1"/>
  <c r="SA56" i="1" s="1"/>
  <c r="ABM55" i="1"/>
  <c r="ADZ55" i="1"/>
  <c r="ADL55" i="1"/>
  <c r="AAV57" i="1"/>
  <c r="BL57" i="1"/>
  <c r="UJ54" i="1"/>
  <c r="UG54" i="1"/>
  <c r="UD54" i="1"/>
  <c r="UE54" i="1" s="1"/>
  <c r="ABU54" i="1"/>
  <c r="ZP54" i="1"/>
  <c r="OX54" i="1"/>
  <c r="VC54" i="1"/>
  <c r="XX54" i="1" s="1"/>
  <c r="NY54" i="1"/>
  <c r="VG54" i="1"/>
  <c r="XZ54" i="1" s="1"/>
  <c r="NR54" i="1"/>
  <c r="VF54" i="1"/>
  <c r="NK54" i="1"/>
  <c r="VE54" i="1"/>
  <c r="YC54" i="1" s="1"/>
  <c r="NC54" i="1"/>
  <c r="VD54" i="1"/>
  <c r="YB54" i="1" s="1"/>
  <c r="MV54" i="1"/>
  <c r="ZH54" i="1"/>
  <c r="ZJ54" i="1" s="1"/>
  <c r="ABI54" i="1"/>
  <c r="ABL54" i="1" s="1"/>
  <c r="MR54" i="1"/>
  <c r="MS54" i="1" s="1"/>
  <c r="KX54" i="1"/>
  <c r="JC54" i="1"/>
  <c r="GT54" i="1"/>
  <c r="CH54" i="1"/>
  <c r="JL54" i="1"/>
  <c r="JG54" i="1"/>
  <c r="JH54" i="1" s="1"/>
  <c r="FO54" i="1"/>
  <c r="FK54" i="1"/>
  <c r="FL54" i="1" s="1"/>
  <c r="ABW54" i="1" s="1"/>
  <c r="FD54" i="1"/>
  <c r="FE54" i="1" s="1"/>
  <c r="EK54" i="1"/>
  <c r="EG54" i="1"/>
  <c r="KB54" i="1"/>
  <c r="KC54" i="1" s="1"/>
  <c r="JU54" i="1"/>
  <c r="JV54" i="1" s="1"/>
  <c r="IX54" i="1"/>
  <c r="IQ54" i="1"/>
  <c r="IR54" i="1" s="1"/>
  <c r="GF54" i="1"/>
  <c r="ABN54" i="1" s="1"/>
  <c r="GB54" i="1"/>
  <c r="GC54" i="1" s="1"/>
  <c r="FU54" i="1"/>
  <c r="FV54" i="1" s="1"/>
  <c r="FS54" i="1"/>
  <c r="FT54" i="1" s="1"/>
  <c r="EZ54" i="1"/>
  <c r="EO54" i="1"/>
  <c r="EP54" i="1" s="1"/>
  <c r="JQ53" i="1"/>
  <c r="IA53" i="1"/>
  <c r="IB53" i="1" s="1"/>
  <c r="CY53" i="1"/>
  <c r="SP53" i="1"/>
  <c r="CJ53" i="1"/>
  <c r="CI53" i="1"/>
  <c r="RZ53" i="1"/>
  <c r="SA53" i="1" s="1"/>
  <c r="CE53" i="1"/>
  <c r="SC53" i="1" s="1"/>
  <c r="SG53" i="1" s="1"/>
  <c r="YM52" i="1"/>
  <c r="YD52" i="1"/>
  <c r="OS52" i="1"/>
  <c r="OM52" i="1"/>
  <c r="AAY52" i="1"/>
  <c r="ADH52" i="1" s="1"/>
  <c r="ZC52" i="1"/>
  <c r="ZG52" i="1"/>
  <c r="ABG52" i="1"/>
  <c r="ADK52" i="1" s="1"/>
  <c r="ABD52" i="1"/>
  <c r="ZF52" i="1"/>
  <c r="ZE52" i="1"/>
  <c r="ABB52" i="1"/>
  <c r="ADN52" i="1" s="1"/>
  <c r="ABA52" i="1"/>
  <c r="ADM52" i="1" s="1"/>
  <c r="ZD52" i="1"/>
  <c r="JB52" i="1"/>
  <c r="JC52" i="1"/>
  <c r="GT52" i="1"/>
  <c r="EV52" i="1"/>
  <c r="EW52" i="1" s="1"/>
  <c r="EH52" i="1"/>
  <c r="YM51" i="1"/>
  <c r="YD51" i="1"/>
  <c r="QW51" i="1"/>
  <c r="QX51" i="1" s="1"/>
  <c r="TZ51" i="1" s="1"/>
  <c r="QQ51" i="1"/>
  <c r="QS51" i="1" s="1"/>
  <c r="VN51" i="1"/>
  <c r="WC51" i="1" s="1"/>
  <c r="YR51" i="1" s="1"/>
  <c r="PC51" i="1"/>
  <c r="ZM51" i="1"/>
  <c r="IL51" i="1"/>
  <c r="IK51" i="1"/>
  <c r="EC51" i="1"/>
  <c r="RZ51" i="1"/>
  <c r="SA51" i="1" s="1"/>
  <c r="CE51" i="1"/>
  <c r="SC51" i="1" s="1"/>
  <c r="ABI56" i="1"/>
  <c r="ABL56" i="1" s="1"/>
  <c r="ZH56" i="1"/>
  <c r="ZJ56" i="1" s="1"/>
  <c r="MR56" i="1"/>
  <c r="MS56" i="1" s="1"/>
  <c r="IG55" i="1"/>
  <c r="VL55" i="1"/>
  <c r="IF55" i="1"/>
  <c r="VN54" i="1"/>
  <c r="WC54" i="1" s="1"/>
  <c r="YR54" i="1" s="1"/>
  <c r="PC54" i="1"/>
  <c r="ZM54" i="1"/>
  <c r="IK54" i="1"/>
  <c r="IL54" i="1"/>
  <c r="YL54" i="1"/>
  <c r="XW54" i="1"/>
  <c r="XV54" i="1" s="1"/>
  <c r="SH54" i="1"/>
  <c r="SF54" i="1"/>
  <c r="SJ54" i="1" s="1"/>
  <c r="CW54" i="1"/>
  <c r="VK54" i="1"/>
  <c r="AD54" i="1"/>
  <c r="AE54" i="1"/>
  <c r="UJ53" i="1"/>
  <c r="UD53" i="1"/>
  <c r="UG53" i="1"/>
  <c r="UE53" i="1"/>
  <c r="OM53" i="1"/>
  <c r="OS53" i="1"/>
  <c r="AAY53" i="1"/>
  <c r="ADH53" i="1" s="1"/>
  <c r="ADE53" i="1" s="1"/>
  <c r="ZC53" i="1"/>
  <c r="ZG53" i="1"/>
  <c r="ABG53" i="1"/>
  <c r="ADK53" i="1" s="1"/>
  <c r="ABD53" i="1"/>
  <c r="ZF53" i="1"/>
  <c r="ZE53" i="1"/>
  <c r="ABB53" i="1"/>
  <c r="ADN53" i="1" s="1"/>
  <c r="ABA53" i="1"/>
  <c r="ADM53" i="1" s="1"/>
  <c r="ZD53" i="1"/>
  <c r="JC53" i="1"/>
  <c r="JB53" i="1"/>
  <c r="FG53" i="1"/>
  <c r="FF53" i="1"/>
  <c r="EV53" i="1"/>
  <c r="EW53" i="1" s="1"/>
  <c r="EH53" i="1"/>
  <c r="AD53" i="1"/>
  <c r="VK53" i="1"/>
  <c r="AE53" i="1"/>
  <c r="YL52" i="1"/>
  <c r="XW52" i="1"/>
  <c r="XV52" i="1" s="1"/>
  <c r="UD52" i="1"/>
  <c r="UE52" i="1"/>
  <c r="UF52" i="1"/>
  <c r="UG52" i="1" s="1"/>
  <c r="TN52" i="1"/>
  <c r="UI52" i="1"/>
  <c r="UJ52" i="1" s="1"/>
  <c r="JX52" i="1"/>
  <c r="JW52" i="1"/>
  <c r="ZM52" i="1"/>
  <c r="IK52" i="1"/>
  <c r="IL52" i="1"/>
  <c r="UJ51" i="1"/>
  <c r="UD51" i="1"/>
  <c r="UG51" i="1"/>
  <c r="UE51" i="1"/>
  <c r="OM51" i="1"/>
  <c r="OS51" i="1"/>
  <c r="NY51" i="1"/>
  <c r="VC51" i="1"/>
  <c r="XX51" i="1" s="1"/>
  <c r="NR51" i="1"/>
  <c r="VG51" i="1"/>
  <c r="XZ51" i="1" s="1"/>
  <c r="VF51" i="1"/>
  <c r="NK51" i="1"/>
  <c r="NC51" i="1"/>
  <c r="VE51" i="1"/>
  <c r="YC51" i="1" s="1"/>
  <c r="VD51" i="1"/>
  <c r="YB51" i="1" s="1"/>
  <c r="MV51" i="1"/>
  <c r="KX51" i="1"/>
  <c r="JC51" i="1"/>
  <c r="GL51" i="1"/>
  <c r="DO51" i="1"/>
  <c r="AD51" i="1"/>
  <c r="VK51" i="1"/>
  <c r="AE51" i="1"/>
  <c r="ADP55" i="1"/>
  <c r="ABX55" i="1"/>
  <c r="ABV55" i="1"/>
  <c r="AAV55" i="1"/>
  <c r="BL55" i="1"/>
  <c r="YE50" i="1"/>
  <c r="VO50" i="1"/>
  <c r="ZM50" i="1"/>
  <c r="IL50" i="1"/>
  <c r="IK50" i="1"/>
  <c r="LA50" i="1"/>
  <c r="SQ50" i="1"/>
  <c r="SS50" i="1" s="1"/>
  <c r="UI49" i="1"/>
  <c r="UJ49" i="1" s="1"/>
  <c r="UF49" i="1"/>
  <c r="UG49" i="1" s="1"/>
  <c r="TN49" i="1"/>
  <c r="ABU49" i="1"/>
  <c r="ZP49" i="1"/>
  <c r="OX49" i="1"/>
  <c r="IL49" i="1"/>
  <c r="ZM49" i="1"/>
  <c r="IK49" i="1"/>
  <c r="SH49" i="1"/>
  <c r="SF49" i="1"/>
  <c r="SJ49" i="1" s="1"/>
  <c r="CW49" i="1"/>
  <c r="UI48" i="1"/>
  <c r="UJ48" i="1" s="1"/>
  <c r="UF48" i="1"/>
  <c r="UG48" i="1" s="1"/>
  <c r="TN48" i="1"/>
  <c r="AAY48" i="1"/>
  <c r="ADH48" i="1" s="1"/>
  <c r="ZC48" i="1"/>
  <c r="VG48" i="1"/>
  <c r="XZ48" i="1" s="1"/>
  <c r="NR48" i="1"/>
  <c r="VF48" i="1"/>
  <c r="NK48" i="1"/>
  <c r="VE48" i="1"/>
  <c r="YC48" i="1" s="1"/>
  <c r="NC48" i="1"/>
  <c r="VD48" i="1"/>
  <c r="YB48" i="1" s="1"/>
  <c r="MV48" i="1"/>
  <c r="ABJ47" i="1"/>
  <c r="ZI47" i="1"/>
  <c r="AAV54" i="1"/>
  <c r="BL54" i="1"/>
  <c r="BL53" i="1"/>
  <c r="AAV53" i="1"/>
  <c r="ZI52" i="1"/>
  <c r="ABJ52" i="1"/>
  <c r="BL51" i="1"/>
  <c r="AAV51" i="1"/>
  <c r="YM50" i="1"/>
  <c r="YD50" i="1"/>
  <c r="YL53" i="1"/>
  <c r="XW53" i="1"/>
  <c r="XV53" i="1" s="1"/>
  <c r="NY50" i="1"/>
  <c r="VC50" i="1"/>
  <c r="XX50" i="1" s="1"/>
  <c r="NR50" i="1"/>
  <c r="VG50" i="1"/>
  <c r="XZ50" i="1" s="1"/>
  <c r="VF50" i="1"/>
  <c r="NK50" i="1"/>
  <c r="VE50" i="1"/>
  <c r="YC50" i="1" s="1"/>
  <c r="NC50" i="1"/>
  <c r="VD50" i="1"/>
  <c r="YB50" i="1" s="1"/>
  <c r="MV50" i="1"/>
  <c r="CE50" i="1"/>
  <c r="KB50" i="1"/>
  <c r="KC50" i="1" s="1"/>
  <c r="JU50" i="1"/>
  <c r="JV50" i="1" s="1"/>
  <c r="JX50" i="1" s="1"/>
  <c r="IX50" i="1"/>
  <c r="IQ50" i="1"/>
  <c r="IR50" i="1" s="1"/>
  <c r="FO50" i="1"/>
  <c r="FK50" i="1"/>
  <c r="FL50" i="1" s="1"/>
  <c r="ABW50" i="1" s="1"/>
  <c r="FD50" i="1"/>
  <c r="FE50" i="1" s="1"/>
  <c r="FG50" i="1" s="1"/>
  <c r="EK50" i="1"/>
  <c r="EG50" i="1"/>
  <c r="JL50" i="1"/>
  <c r="JG50" i="1"/>
  <c r="JH50" i="1" s="1"/>
  <c r="GF50" i="1"/>
  <c r="ABN50" i="1" s="1"/>
  <c r="GB50" i="1"/>
  <c r="GC50" i="1" s="1"/>
  <c r="FU50" i="1"/>
  <c r="FV50" i="1" s="1"/>
  <c r="FX50" i="1" s="1"/>
  <c r="FS50" i="1"/>
  <c r="FT50" i="1" s="1"/>
  <c r="EZ50" i="1"/>
  <c r="EO50" i="1"/>
  <c r="EP50" i="1" s="1"/>
  <c r="ER50" i="1" s="1"/>
  <c r="YM49" i="1"/>
  <c r="YD49" i="1"/>
  <c r="QW49" i="1"/>
  <c r="QX49" i="1" s="1"/>
  <c r="TZ49" i="1" s="1"/>
  <c r="QQ49" i="1"/>
  <c r="QS49" i="1" s="1"/>
  <c r="PC49" i="1"/>
  <c r="VN49" i="1"/>
  <c r="WC49" i="1" s="1"/>
  <c r="YR49" i="1" s="1"/>
  <c r="ABG49" i="1"/>
  <c r="ADK49" i="1" s="1"/>
  <c r="ZG49" i="1"/>
  <c r="ZF49" i="1"/>
  <c r="ABD49" i="1"/>
  <c r="ABB49" i="1"/>
  <c r="ADN49" i="1" s="1"/>
  <c r="ZE49" i="1"/>
  <c r="ZD49" i="1"/>
  <c r="ABA49" i="1"/>
  <c r="ADM49" i="1" s="1"/>
  <c r="GT49" i="1"/>
  <c r="CH49" i="1"/>
  <c r="SE49" i="1"/>
  <c r="ABJ48" i="1"/>
  <c r="ZI48" i="1"/>
  <c r="IA48" i="1"/>
  <c r="IB48" i="1" s="1"/>
  <c r="RZ48" i="1"/>
  <c r="SA48" i="1" s="1"/>
  <c r="CE48" i="1"/>
  <c r="SC48" i="1" s="1"/>
  <c r="SG48" i="1" s="1"/>
  <c r="YP47" i="1"/>
  <c r="YA47" i="1"/>
  <c r="XY47" i="1" s="1"/>
  <c r="EH47" i="1"/>
  <c r="EV47" i="1"/>
  <c r="VK47" i="1"/>
  <c r="AD47" i="1"/>
  <c r="AE47" i="1"/>
  <c r="ABI53" i="1"/>
  <c r="ABL53" i="1" s="1"/>
  <c r="ZH53" i="1"/>
  <c r="ZJ53" i="1" s="1"/>
  <c r="MR53" i="1"/>
  <c r="MS53" i="1" s="1"/>
  <c r="EB52" i="1"/>
  <c r="EC52" i="1"/>
  <c r="ST52" i="1" s="1"/>
  <c r="SV52" i="1" s="1"/>
  <c r="ZM46" i="1"/>
  <c r="IL46" i="1"/>
  <c r="IK46" i="1"/>
  <c r="SN46" i="1"/>
  <c r="UY46" i="1" s="1"/>
  <c r="RZ46" i="1"/>
  <c r="SA46" i="1" s="1"/>
  <c r="CE46" i="1"/>
  <c r="SC46" i="1" s="1"/>
  <c r="UI45" i="1"/>
  <c r="UJ45" i="1" s="1"/>
  <c r="UF45" i="1"/>
  <c r="UG45" i="1" s="1"/>
  <c r="TN45" i="1"/>
  <c r="IL45" i="1"/>
  <c r="ZM45" i="1"/>
  <c r="IK45" i="1"/>
  <c r="CW45" i="1"/>
  <c r="CN45" i="1"/>
  <c r="CO45" i="1" s="1"/>
  <c r="BX45" i="1"/>
  <c r="KB45" i="1"/>
  <c r="KC45" i="1" s="1"/>
  <c r="JU45" i="1"/>
  <c r="JV45" i="1" s="1"/>
  <c r="IX45" i="1"/>
  <c r="IQ45" i="1"/>
  <c r="IR45" i="1" s="1"/>
  <c r="GF45" i="1"/>
  <c r="GB45" i="1"/>
  <c r="GC45" i="1" s="1"/>
  <c r="FU45" i="1"/>
  <c r="FV45" i="1" s="1"/>
  <c r="FS45" i="1"/>
  <c r="FT45" i="1" s="1"/>
  <c r="EZ45" i="1"/>
  <c r="FB45" i="1" s="1"/>
  <c r="EO45" i="1"/>
  <c r="EP45" i="1" s="1"/>
  <c r="JL45" i="1"/>
  <c r="JG45" i="1"/>
  <c r="JH45" i="1" s="1"/>
  <c r="FO45" i="1"/>
  <c r="FQ45" i="1" s="1"/>
  <c r="FK45" i="1"/>
  <c r="FL45" i="1" s="1"/>
  <c r="ABW45" i="1" s="1"/>
  <c r="FD45" i="1"/>
  <c r="FE45" i="1" s="1"/>
  <c r="EK45" i="1"/>
  <c r="EM45" i="1" s="1"/>
  <c r="EG45" i="1"/>
  <c r="UI44" i="1"/>
  <c r="UJ44" i="1" s="1"/>
  <c r="UF44" i="1"/>
  <c r="UG44" i="1" s="1"/>
  <c r="TN44" i="1"/>
  <c r="IL44" i="1"/>
  <c r="ZM44" i="1"/>
  <c r="IK44" i="1"/>
  <c r="CW44" i="1"/>
  <c r="CN44" i="1"/>
  <c r="CO44" i="1" s="1"/>
  <c r="BX44" i="1"/>
  <c r="KB44" i="1"/>
  <c r="KC44" i="1" s="1"/>
  <c r="JU44" i="1"/>
  <c r="JV44" i="1" s="1"/>
  <c r="IX44" i="1"/>
  <c r="IQ44" i="1"/>
  <c r="IR44" i="1" s="1"/>
  <c r="GF44" i="1"/>
  <c r="GB44" i="1"/>
  <c r="GC44" i="1" s="1"/>
  <c r="FU44" i="1"/>
  <c r="FV44" i="1" s="1"/>
  <c r="FS44" i="1"/>
  <c r="FT44" i="1" s="1"/>
  <c r="EZ44" i="1"/>
  <c r="FB44" i="1" s="1"/>
  <c r="EO44" i="1"/>
  <c r="EP44" i="1" s="1"/>
  <c r="JL44" i="1"/>
  <c r="JG44" i="1"/>
  <c r="JH44" i="1" s="1"/>
  <c r="FO44" i="1"/>
  <c r="FQ44" i="1" s="1"/>
  <c r="FK44" i="1"/>
  <c r="FL44" i="1" s="1"/>
  <c r="ABW44" i="1" s="1"/>
  <c r="FD44" i="1"/>
  <c r="FE44" i="1" s="1"/>
  <c r="EK44" i="1"/>
  <c r="EM44" i="1" s="1"/>
  <c r="EG44" i="1"/>
  <c r="UI43" i="1"/>
  <c r="UJ43" i="1" s="1"/>
  <c r="SO43" i="1"/>
  <c r="UF43" i="1"/>
  <c r="UG43" i="1" s="1"/>
  <c r="TN43" i="1"/>
  <c r="ABJ43" i="1"/>
  <c r="ZI43" i="1"/>
  <c r="JX43" i="1"/>
  <c r="IL43" i="1"/>
  <c r="ZM43" i="1"/>
  <c r="IK43" i="1"/>
  <c r="DO43" i="1"/>
  <c r="CH43" i="1"/>
  <c r="UI42" i="1"/>
  <c r="UJ42" i="1" s="1"/>
  <c r="UF42" i="1"/>
  <c r="UG42" i="1" s="1"/>
  <c r="TN42" i="1"/>
  <c r="IL42" i="1"/>
  <c r="ZM42" i="1"/>
  <c r="IK42" i="1"/>
  <c r="CD42" i="1"/>
  <c r="KB42" i="1"/>
  <c r="KC42" i="1" s="1"/>
  <c r="JU42" i="1"/>
  <c r="JV42" i="1" s="1"/>
  <c r="IX42" i="1"/>
  <c r="IQ42" i="1"/>
  <c r="IR42" i="1" s="1"/>
  <c r="GF42" i="1"/>
  <c r="GB42" i="1"/>
  <c r="GC42" i="1" s="1"/>
  <c r="FU42" i="1"/>
  <c r="FV42" i="1" s="1"/>
  <c r="FS42" i="1"/>
  <c r="FT42" i="1" s="1"/>
  <c r="EZ42" i="1"/>
  <c r="FB42" i="1" s="1"/>
  <c r="EO42" i="1"/>
  <c r="EP42" i="1" s="1"/>
  <c r="JL42" i="1"/>
  <c r="JG42" i="1"/>
  <c r="JH42" i="1" s="1"/>
  <c r="FO42" i="1"/>
  <c r="FQ42" i="1" s="1"/>
  <c r="FK42" i="1"/>
  <c r="FL42" i="1" s="1"/>
  <c r="ABW42" i="1" s="1"/>
  <c r="FD42" i="1"/>
  <c r="FE42" i="1" s="1"/>
  <c r="EK42" i="1"/>
  <c r="EM42" i="1" s="1"/>
  <c r="EG42" i="1"/>
  <c r="UI41" i="1"/>
  <c r="UJ41" i="1" s="1"/>
  <c r="UF41" i="1"/>
  <c r="UG41" i="1" s="1"/>
  <c r="TN41" i="1"/>
  <c r="ABJ41" i="1"/>
  <c r="ZI41" i="1"/>
  <c r="JQ41" i="1"/>
  <c r="IA41" i="1"/>
  <c r="IB41" i="1" s="1"/>
  <c r="CW41" i="1"/>
  <c r="CN41" i="1"/>
  <c r="CO41" i="1" s="1"/>
  <c r="BX41" i="1"/>
  <c r="AAV41" i="1"/>
  <c r="BL41" i="1"/>
  <c r="YM40" i="1"/>
  <c r="YD40" i="1"/>
  <c r="QW40" i="1"/>
  <c r="QX40" i="1" s="1"/>
  <c r="TZ40" i="1" s="1"/>
  <c r="QQ40" i="1"/>
  <c r="QS40" i="1" s="1"/>
  <c r="VN40" i="1"/>
  <c r="WC40" i="1" s="1"/>
  <c r="YR40" i="1" s="1"/>
  <c r="PC40" i="1"/>
  <c r="JX40" i="1"/>
  <c r="ZM40" i="1"/>
  <c r="IL40" i="1"/>
  <c r="IK40" i="1"/>
  <c r="ABN40" i="1"/>
  <c r="GH40" i="1"/>
  <c r="YE39" i="1"/>
  <c r="UG39" i="1"/>
  <c r="UJ39" i="1"/>
  <c r="UD39" i="1"/>
  <c r="UE39" i="1" s="1"/>
  <c r="QW39" i="1"/>
  <c r="QX39" i="1" s="1"/>
  <c r="TZ39" i="1" s="1"/>
  <c r="QQ39" i="1"/>
  <c r="QS39" i="1" s="1"/>
  <c r="VN39" i="1"/>
  <c r="WC39" i="1" s="1"/>
  <c r="YR39" i="1" s="1"/>
  <c r="PC39" i="1"/>
  <c r="JX39" i="1"/>
  <c r="IL39" i="1"/>
  <c r="ZM39" i="1"/>
  <c r="IK39" i="1"/>
  <c r="ZI50" i="1"/>
  <c r="ABJ50" i="1"/>
  <c r="ABJ49" i="1"/>
  <c r="ZI49" i="1"/>
  <c r="AAV49" i="1"/>
  <c r="BL49" i="1"/>
  <c r="AAV48" i="1"/>
  <c r="BL48" i="1"/>
  <c r="IG47" i="1"/>
  <c r="VL47" i="1"/>
  <c r="IF47" i="1"/>
  <c r="VC46" i="1"/>
  <c r="XX46" i="1" s="1"/>
  <c r="NY46" i="1"/>
  <c r="OM46" i="1"/>
  <c r="OS46" i="1"/>
  <c r="ABU46" i="1"/>
  <c r="ZP46" i="1"/>
  <c r="OX46" i="1"/>
  <c r="YM46" i="1"/>
  <c r="YD46" i="1"/>
  <c r="VD46" i="1"/>
  <c r="YB46" i="1" s="1"/>
  <c r="MV46" i="1"/>
  <c r="VE46" i="1"/>
  <c r="YC46" i="1" s="1"/>
  <c r="NC46" i="1"/>
  <c r="VF46" i="1"/>
  <c r="NK46" i="1"/>
  <c r="VG46" i="1"/>
  <c r="XZ46" i="1" s="1"/>
  <c r="NR46" i="1"/>
  <c r="AAY46" i="1"/>
  <c r="ADH46" i="1" s="1"/>
  <c r="ZC46" i="1"/>
  <c r="UI46" i="1"/>
  <c r="UJ46" i="1" s="1"/>
  <c r="UF46" i="1"/>
  <c r="UG46" i="1" s="1"/>
  <c r="TN46" i="1"/>
  <c r="YL48" i="1"/>
  <c r="XW48" i="1"/>
  <c r="XV48" i="1" s="1"/>
  <c r="YL47" i="1"/>
  <c r="XW47" i="1"/>
  <c r="XV47" i="1" s="1"/>
  <c r="JC46" i="1"/>
  <c r="AAV46" i="1"/>
  <c r="BL46" i="1"/>
  <c r="VC45" i="1"/>
  <c r="XX45" i="1" s="1"/>
  <c r="NY45" i="1"/>
  <c r="VG45" i="1"/>
  <c r="XZ45" i="1" s="1"/>
  <c r="NR45" i="1"/>
  <c r="NK45" i="1"/>
  <c r="VF45" i="1"/>
  <c r="VE45" i="1"/>
  <c r="YC45" i="1" s="1"/>
  <c r="NC45" i="1"/>
  <c r="MV45" i="1"/>
  <c r="VD45" i="1"/>
  <c r="YB45" i="1" s="1"/>
  <c r="ABI45" i="1"/>
  <c r="ZH45" i="1"/>
  <c r="MR45" i="1"/>
  <c r="MS45" i="1" s="1"/>
  <c r="VC44" i="1"/>
  <c r="XX44" i="1" s="1"/>
  <c r="NY44" i="1"/>
  <c r="VG44" i="1"/>
  <c r="XZ44" i="1" s="1"/>
  <c r="NR44" i="1"/>
  <c r="NK44" i="1"/>
  <c r="VF44" i="1"/>
  <c r="VE44" i="1"/>
  <c r="YC44" i="1" s="1"/>
  <c r="NC44" i="1"/>
  <c r="MV44" i="1"/>
  <c r="VD44" i="1"/>
  <c r="YB44" i="1" s="1"/>
  <c r="ABI44" i="1"/>
  <c r="ZH44" i="1"/>
  <c r="MR44" i="1"/>
  <c r="MS44" i="1" s="1"/>
  <c r="DO44" i="1"/>
  <c r="CH44" i="1"/>
  <c r="YM43" i="1"/>
  <c r="YD43" i="1"/>
  <c r="OM43" i="1"/>
  <c r="OS43" i="1"/>
  <c r="AAY43" i="1"/>
  <c r="ADH43" i="1" s="1"/>
  <c r="ZC43" i="1"/>
  <c r="ABG43" i="1"/>
  <c r="ADK43" i="1" s="1"/>
  <c r="ZG43" i="1"/>
  <c r="ABD43" i="1"/>
  <c r="ZF43" i="1"/>
  <c r="ABB43" i="1"/>
  <c r="ADN43" i="1" s="1"/>
  <c r="ZE43" i="1"/>
  <c r="ABA43" i="1"/>
  <c r="ADM43" i="1" s="1"/>
  <c r="ZD43" i="1"/>
  <c r="JC43" i="1"/>
  <c r="ABN43" i="1"/>
  <c r="GH43" i="1"/>
  <c r="FX43" i="1"/>
  <c r="CW43" i="1"/>
  <c r="CN43" i="1"/>
  <c r="CO43" i="1" s="1"/>
  <c r="BX43" i="1"/>
  <c r="KO43" i="1"/>
  <c r="VK43" i="1"/>
  <c r="AD43" i="1"/>
  <c r="AE43" i="1"/>
  <c r="YM42" i="1"/>
  <c r="YD42" i="1"/>
  <c r="OM42" i="1"/>
  <c r="OS42" i="1"/>
  <c r="AAY42" i="1"/>
  <c r="ADH42" i="1" s="1"/>
  <c r="ZC42" i="1"/>
  <c r="ABG42" i="1"/>
  <c r="ADK42" i="1" s="1"/>
  <c r="ZG42" i="1"/>
  <c r="ZF42" i="1"/>
  <c r="ABD42" i="1"/>
  <c r="ABB42" i="1"/>
  <c r="ADN42" i="1" s="1"/>
  <c r="ZE42" i="1"/>
  <c r="ZD42" i="1"/>
  <c r="ABA42" i="1"/>
  <c r="ADM42" i="1" s="1"/>
  <c r="JC42" i="1"/>
  <c r="DO42" i="1"/>
  <c r="CH42" i="1"/>
  <c r="VC41" i="1"/>
  <c r="XX41" i="1" s="1"/>
  <c r="NY41" i="1"/>
  <c r="VG41" i="1"/>
  <c r="XZ41" i="1" s="1"/>
  <c r="NR41" i="1"/>
  <c r="NK41" i="1"/>
  <c r="VF41" i="1"/>
  <c r="VE41" i="1"/>
  <c r="YC41" i="1" s="1"/>
  <c r="NC41" i="1"/>
  <c r="MV41" i="1"/>
  <c r="VD41" i="1"/>
  <c r="YB41" i="1" s="1"/>
  <c r="YE40" i="1"/>
  <c r="VO40" i="1"/>
  <c r="UF40" i="1"/>
  <c r="UG40" i="1" s="1"/>
  <c r="TN40" i="1"/>
  <c r="UI40" i="1"/>
  <c r="UJ40" i="1" s="1"/>
  <c r="NY40" i="1"/>
  <c r="VC40" i="1"/>
  <c r="XX40" i="1" s="1"/>
  <c r="NR40" i="1"/>
  <c r="VG40" i="1"/>
  <c r="XZ40" i="1" s="1"/>
  <c r="VF40" i="1"/>
  <c r="NK40" i="1"/>
  <c r="NC40" i="1"/>
  <c r="VE40" i="1"/>
  <c r="YC40" i="1" s="1"/>
  <c r="VD40" i="1"/>
  <c r="YB40" i="1" s="1"/>
  <c r="MV40" i="1"/>
  <c r="EH40" i="1"/>
  <c r="EV40" i="1"/>
  <c r="EW40" i="1" s="1"/>
  <c r="CD40" i="1"/>
  <c r="SD40" i="1"/>
  <c r="AD40" i="1"/>
  <c r="VK40" i="1"/>
  <c r="AE40" i="1"/>
  <c r="YM39" i="1"/>
  <c r="YD39" i="1"/>
  <c r="OM39" i="1"/>
  <c r="OS39" i="1"/>
  <c r="AAY39" i="1"/>
  <c r="ADH39" i="1" s="1"/>
  <c r="ZC39" i="1"/>
  <c r="ABG39" i="1"/>
  <c r="ADK39" i="1" s="1"/>
  <c r="ZG39" i="1"/>
  <c r="ZF39" i="1"/>
  <c r="ABD39" i="1"/>
  <c r="ABB39" i="1"/>
  <c r="ADN39" i="1" s="1"/>
  <c r="ZE39" i="1"/>
  <c r="ZD39" i="1"/>
  <c r="ABA39" i="1"/>
  <c r="ADM39" i="1" s="1"/>
  <c r="JC39" i="1"/>
  <c r="SD39" i="1"/>
  <c r="CD39" i="1"/>
  <c r="ZI38" i="1"/>
  <c r="ABJ38" i="1"/>
  <c r="AAV50" i="1"/>
  <c r="BL50" i="1"/>
  <c r="ZH48" i="1"/>
  <c r="ZJ48" i="1" s="1"/>
  <c r="MR48" i="1"/>
  <c r="MS48" i="1" s="1"/>
  <c r="ABI48" i="1"/>
  <c r="ABL48" i="1" s="1"/>
  <c r="ADP47" i="1"/>
  <c r="ABX47" i="1"/>
  <c r="ABV47" i="1"/>
  <c r="AAV47" i="1"/>
  <c r="BL47" i="1"/>
  <c r="YL40" i="1"/>
  <c r="XW40" i="1"/>
  <c r="XV40" i="1" s="1"/>
  <c r="SD38" i="1"/>
  <c r="CD38" i="1"/>
  <c r="UI37" i="1"/>
  <c r="UJ37" i="1" s="1"/>
  <c r="UF37" i="1"/>
  <c r="UG37" i="1" s="1"/>
  <c r="TN37" i="1"/>
  <c r="ABU37" i="1"/>
  <c r="ZP37" i="1"/>
  <c r="OX37" i="1"/>
  <c r="ABJ37" i="1"/>
  <c r="ZI37" i="1"/>
  <c r="JQ37" i="1"/>
  <c r="ABU36" i="1"/>
  <c r="ZP36" i="1"/>
  <c r="OX36" i="1"/>
  <c r="VC36" i="1"/>
  <c r="XX36" i="1" s="1"/>
  <c r="NY36" i="1"/>
  <c r="VG36" i="1"/>
  <c r="XZ36" i="1" s="1"/>
  <c r="NR36" i="1"/>
  <c r="VF36" i="1"/>
  <c r="NK36" i="1"/>
  <c r="VE36" i="1"/>
  <c r="YC36" i="1" s="1"/>
  <c r="NC36" i="1"/>
  <c r="VD36" i="1"/>
  <c r="YB36" i="1" s="1"/>
  <c r="MV36" i="1"/>
  <c r="ABI36" i="1"/>
  <c r="MR36" i="1"/>
  <c r="MS36" i="1" s="1"/>
  <c r="ZH36" i="1"/>
  <c r="DO36" i="1"/>
  <c r="CH36" i="1"/>
  <c r="CN36" i="1"/>
  <c r="CO36" i="1" s="1"/>
  <c r="BX36" i="1"/>
  <c r="AAV36" i="1"/>
  <c r="BL36" i="1"/>
  <c r="ZN60" i="1"/>
  <c r="SD60" i="1"/>
  <c r="JY58" i="1"/>
  <c r="JZ58" i="1" s="1"/>
  <c r="GM58" i="1"/>
  <c r="GN58" i="1" s="1"/>
  <c r="SD57" i="1"/>
  <c r="KH58" i="1"/>
  <c r="ED58" i="1"/>
  <c r="EE58" i="1" s="1"/>
  <c r="CZ58" i="1"/>
  <c r="DA58" i="1" s="1"/>
  <c r="SD59" i="1"/>
  <c r="ES59" i="1"/>
  <c r="ET59" i="1" s="1"/>
  <c r="FY59" i="1"/>
  <c r="FZ59" i="1" s="1"/>
  <c r="JR59" i="1"/>
  <c r="JS59" i="1" s="1"/>
  <c r="KH59" i="1"/>
  <c r="KH56" i="1"/>
  <c r="SD56" i="1"/>
  <c r="SO56" i="1" s="1"/>
  <c r="XV58" i="1"/>
  <c r="ZN56" i="1"/>
  <c r="SP55" i="1"/>
  <c r="KO55" i="1"/>
  <c r="ADE58" i="1"/>
  <c r="BJ58" i="1"/>
  <c r="XV57" i="1"/>
  <c r="ZN57" i="1"/>
  <c r="SD52" i="1"/>
  <c r="SO52" i="1" s="1"/>
  <c r="VJ56" i="1"/>
  <c r="KH54" i="1"/>
  <c r="SD54" i="1"/>
  <c r="TA53" i="1"/>
  <c r="KO53" i="1"/>
  <c r="ZN52" i="1"/>
  <c r="TA52" i="1"/>
  <c r="KH52" i="1"/>
  <c r="SD51" i="1"/>
  <c r="XV55" i="1"/>
  <c r="SE52" i="1"/>
  <c r="KH50" i="1"/>
  <c r="JR50" i="1"/>
  <c r="JS50" i="1" s="1"/>
  <c r="DP50" i="1"/>
  <c r="DQ50" i="1" s="1"/>
  <c r="SD50" i="1"/>
  <c r="KH49" i="1"/>
  <c r="SD49" i="1"/>
  <c r="KH48" i="1"/>
  <c r="JD48" i="1"/>
  <c r="JE48" i="1" s="1"/>
  <c r="DP48" i="1"/>
  <c r="DQ48" i="1" s="1"/>
  <c r="SD48" i="1"/>
  <c r="ADE51" i="1"/>
  <c r="SC52" i="1"/>
  <c r="SG52" i="1" s="1"/>
  <c r="GM50" i="1"/>
  <c r="GN50" i="1" s="1"/>
  <c r="CZ50" i="1"/>
  <c r="DA50" i="1" s="1"/>
  <c r="JR48" i="1"/>
  <c r="JS48" i="1" s="1"/>
  <c r="ABN48" i="1"/>
  <c r="VJ53" i="1"/>
  <c r="SH52" i="1"/>
  <c r="SE46" i="1"/>
  <c r="KH45" i="1"/>
  <c r="KH44" i="1"/>
  <c r="KH42" i="1"/>
  <c r="XV50" i="1"/>
  <c r="ADE48" i="1"/>
  <c r="ZN48" i="1"/>
  <c r="ZN46" i="1"/>
  <c r="QN46" i="1"/>
  <c r="QW46" i="1" s="1"/>
  <c r="QX46" i="1" s="1"/>
  <c r="TZ46" i="1" s="1"/>
  <c r="SD46" i="1"/>
  <c r="VJ46" i="1"/>
  <c r="ABD34" i="1"/>
  <c r="ZF34" i="1"/>
  <c r="ZE34" i="1"/>
  <c r="ABB34" i="1"/>
  <c r="ADN34" i="1" s="1"/>
  <c r="ABA34" i="1"/>
  <c r="ADM34" i="1" s="1"/>
  <c r="ZD34" i="1"/>
  <c r="FG34" i="1"/>
  <c r="EV34" i="1"/>
  <c r="EW34" i="1" s="1"/>
  <c r="EH34" i="1"/>
  <c r="CH34" i="1"/>
  <c r="YE33" i="1"/>
  <c r="UD33" i="1"/>
  <c r="UE33" i="1" s="1"/>
  <c r="QW33" i="1"/>
  <c r="QX33" i="1" s="1"/>
  <c r="TZ33" i="1" s="1"/>
  <c r="QQ33" i="1"/>
  <c r="QS33" i="1" s="1"/>
  <c r="VN33" i="1"/>
  <c r="WC33" i="1" s="1"/>
  <c r="YR33" i="1" s="1"/>
  <c r="PC33" i="1"/>
  <c r="IL33" i="1"/>
  <c r="ZM33" i="1"/>
  <c r="IK33" i="1"/>
  <c r="CD33" i="1"/>
  <c r="KB33" i="1"/>
  <c r="KC33" i="1" s="1"/>
  <c r="JU33" i="1"/>
  <c r="JV33" i="1" s="1"/>
  <c r="IX33" i="1"/>
  <c r="IQ33" i="1"/>
  <c r="IR33" i="1" s="1"/>
  <c r="GF33" i="1"/>
  <c r="GB33" i="1"/>
  <c r="GC33" i="1" s="1"/>
  <c r="FU33" i="1"/>
  <c r="FV33" i="1" s="1"/>
  <c r="FS33" i="1"/>
  <c r="FT33" i="1" s="1"/>
  <c r="EZ33" i="1"/>
  <c r="FB33" i="1" s="1"/>
  <c r="EO33" i="1"/>
  <c r="EP33" i="1" s="1"/>
  <c r="JL33" i="1"/>
  <c r="JG33" i="1"/>
  <c r="JH33" i="1" s="1"/>
  <c r="FO33" i="1"/>
  <c r="FQ33" i="1" s="1"/>
  <c r="FK33" i="1"/>
  <c r="FL33" i="1" s="1"/>
  <c r="ABW33" i="1" s="1"/>
  <c r="FD33" i="1"/>
  <c r="FE33" i="1" s="1"/>
  <c r="EK33" i="1"/>
  <c r="EM33" i="1" s="1"/>
  <c r="EG33" i="1"/>
  <c r="ABU32" i="1"/>
  <c r="ZP32" i="1"/>
  <c r="OX32" i="1"/>
  <c r="VC32" i="1"/>
  <c r="XX32" i="1" s="1"/>
  <c r="NY32" i="1"/>
  <c r="VG32" i="1"/>
  <c r="XZ32" i="1" s="1"/>
  <c r="NR32" i="1"/>
  <c r="VF32" i="1"/>
  <c r="NK32" i="1"/>
  <c r="VE32" i="1"/>
  <c r="YC32" i="1" s="1"/>
  <c r="NC32" i="1"/>
  <c r="VD32" i="1"/>
  <c r="YB32" i="1" s="1"/>
  <c r="MV32" i="1"/>
  <c r="ABI32" i="1"/>
  <c r="MR32" i="1"/>
  <c r="MS32" i="1" s="1"/>
  <c r="ZH32" i="1"/>
  <c r="JC32" i="1"/>
  <c r="GT32" i="1"/>
  <c r="ER32" i="1"/>
  <c r="SD32" i="1"/>
  <c r="CD32" i="1"/>
  <c r="YM31" i="1"/>
  <c r="YD31" i="1"/>
  <c r="ABU31" i="1"/>
  <c r="ZP31" i="1"/>
  <c r="OX31" i="1"/>
  <c r="VC31" i="1"/>
  <c r="XX31" i="1" s="1"/>
  <c r="NY31" i="1"/>
  <c r="VG31" i="1"/>
  <c r="XZ31" i="1" s="1"/>
  <c r="NR31" i="1"/>
  <c r="VF31" i="1"/>
  <c r="NK31" i="1"/>
  <c r="VE31" i="1"/>
  <c r="YC31" i="1" s="1"/>
  <c r="NC31" i="1"/>
  <c r="VD31" i="1"/>
  <c r="YB31" i="1" s="1"/>
  <c r="MV31" i="1"/>
  <c r="ABI31" i="1"/>
  <c r="MR31" i="1"/>
  <c r="MS31" i="1" s="1"/>
  <c r="ZH31" i="1"/>
  <c r="JC31" i="1"/>
  <c r="GT31" i="1"/>
  <c r="DO31" i="1"/>
  <c r="CH31" i="1"/>
  <c r="ABJ45" i="1"/>
  <c r="ZI45" i="1"/>
  <c r="AAV45" i="1"/>
  <c r="BL45" i="1"/>
  <c r="ABJ42" i="1"/>
  <c r="ZI42" i="1"/>
  <c r="ABI40" i="1"/>
  <c r="ABL40" i="1" s="1"/>
  <c r="ZH40" i="1"/>
  <c r="ZJ40" i="1" s="1"/>
  <c r="MR40" i="1"/>
  <c r="MS40" i="1" s="1"/>
  <c r="BL40" i="1"/>
  <c r="AAV40" i="1"/>
  <c r="ABJ39" i="1"/>
  <c r="ZI39" i="1"/>
  <c r="AAV39" i="1"/>
  <c r="BL39" i="1"/>
  <c r="CY38" i="1"/>
  <c r="IA38" i="1"/>
  <c r="IB38" i="1" s="1"/>
  <c r="JQ38" i="1"/>
  <c r="VN38" i="1"/>
  <c r="WC38" i="1" s="1"/>
  <c r="YR38" i="1" s="1"/>
  <c r="PC38" i="1"/>
  <c r="QW38" i="1"/>
  <c r="QX38" i="1" s="1"/>
  <c r="TZ38" i="1" s="1"/>
  <c r="QQ38" i="1"/>
  <c r="QS38" i="1" s="1"/>
  <c r="UD38" i="1"/>
  <c r="UE38" i="1" s="1"/>
  <c r="YE38" i="1"/>
  <c r="JC38" i="1"/>
  <c r="ABA38" i="1"/>
  <c r="ADM38" i="1" s="1"/>
  <c r="ZD38" i="1"/>
  <c r="ZE38" i="1"/>
  <c r="ABB38" i="1"/>
  <c r="ADN38" i="1" s="1"/>
  <c r="ABD38" i="1"/>
  <c r="ZF38" i="1"/>
  <c r="ZG38" i="1"/>
  <c r="ABG38" i="1"/>
  <c r="ADK38" i="1" s="1"/>
  <c r="AAY38" i="1"/>
  <c r="ADH38" i="1" s="1"/>
  <c r="ZC38" i="1"/>
  <c r="OS38" i="1"/>
  <c r="OM38" i="1"/>
  <c r="VK38" i="1"/>
  <c r="AD38" i="1"/>
  <c r="AE38" i="1"/>
  <c r="YM37" i="1"/>
  <c r="YD37" i="1"/>
  <c r="OM37" i="1"/>
  <c r="OS37" i="1"/>
  <c r="AAY37" i="1"/>
  <c r="ADH37" i="1" s="1"/>
  <c r="ZC37" i="1"/>
  <c r="ABG37" i="1"/>
  <c r="ADK37" i="1" s="1"/>
  <c r="ZG37" i="1"/>
  <c r="ZF37" i="1"/>
  <c r="ABD37" i="1"/>
  <c r="ABB37" i="1"/>
  <c r="ADN37" i="1" s="1"/>
  <c r="ZE37" i="1"/>
  <c r="ZD37" i="1"/>
  <c r="ABA37" i="1"/>
  <c r="ADM37" i="1" s="1"/>
  <c r="JC37" i="1"/>
  <c r="DO37" i="1"/>
  <c r="CH37" i="1"/>
  <c r="BX37" i="1"/>
  <c r="CN37" i="1"/>
  <c r="CO37" i="1" s="1"/>
  <c r="ADV36" i="1"/>
  <c r="ADF36" i="1"/>
  <c r="AAT36" i="1"/>
  <c r="YE36" i="1"/>
  <c r="UF36" i="1"/>
  <c r="TN36" i="1"/>
  <c r="UI36" i="1"/>
  <c r="ZM36" i="1"/>
  <c r="IK36" i="1"/>
  <c r="IL36" i="1"/>
  <c r="YL35" i="1"/>
  <c r="XW35" i="1"/>
  <c r="UD35" i="1"/>
  <c r="UE35" i="1"/>
  <c r="QW35" i="1"/>
  <c r="QX35" i="1" s="1"/>
  <c r="TZ35" i="1" s="1"/>
  <c r="QQ35" i="1"/>
  <c r="QS35" i="1" s="1"/>
  <c r="VN35" i="1"/>
  <c r="WC35" i="1" s="1"/>
  <c r="YR35" i="1" s="1"/>
  <c r="PC35" i="1"/>
  <c r="JQ35" i="1"/>
  <c r="IA35" i="1"/>
  <c r="IB35" i="1" s="1"/>
  <c r="YE34" i="1"/>
  <c r="QW34" i="1"/>
  <c r="QX34" i="1" s="1"/>
  <c r="TZ34" i="1" s="1"/>
  <c r="QQ34" i="1"/>
  <c r="QS34" i="1" s="1"/>
  <c r="VN34" i="1"/>
  <c r="WC34" i="1" s="1"/>
  <c r="YR34" i="1" s="1"/>
  <c r="PC34" i="1"/>
  <c r="JQ34" i="1"/>
  <c r="IA34" i="1"/>
  <c r="IB34" i="1" s="1"/>
  <c r="ABN34" i="1"/>
  <c r="GH34" i="1"/>
  <c r="FX34" i="1"/>
  <c r="AD34" i="1"/>
  <c r="VK34" i="1"/>
  <c r="AE34" i="1"/>
  <c r="YM33" i="1"/>
  <c r="YD33" i="1"/>
  <c r="OM33" i="1"/>
  <c r="OS33" i="1"/>
  <c r="AAY33" i="1"/>
  <c r="ADH33" i="1" s="1"/>
  <c r="ZC33" i="1"/>
  <c r="ABG33" i="1"/>
  <c r="ADK33" i="1" s="1"/>
  <c r="ZG33" i="1"/>
  <c r="ZF33" i="1"/>
  <c r="ABD33" i="1"/>
  <c r="ABB33" i="1"/>
  <c r="ADN33" i="1" s="1"/>
  <c r="ZE33" i="1"/>
  <c r="ZD33" i="1"/>
  <c r="ABA33" i="1"/>
  <c r="ADM33" i="1" s="1"/>
  <c r="JC33" i="1"/>
  <c r="DO33" i="1"/>
  <c r="CH33" i="1"/>
  <c r="YL32" i="1"/>
  <c r="XW32" i="1"/>
  <c r="XV32" i="1" s="1"/>
  <c r="UD32" i="1"/>
  <c r="UE32" i="1"/>
  <c r="QW32" i="1"/>
  <c r="QX32" i="1" s="1"/>
  <c r="TZ32" i="1" s="1"/>
  <c r="QQ32" i="1"/>
  <c r="QS32" i="1" s="1"/>
  <c r="VN32" i="1"/>
  <c r="WC32" i="1" s="1"/>
  <c r="YR32" i="1" s="1"/>
  <c r="PC32" i="1"/>
  <c r="JQ32" i="1"/>
  <c r="IA32" i="1"/>
  <c r="IB32" i="1" s="1"/>
  <c r="ABN32" i="1"/>
  <c r="GH32" i="1"/>
  <c r="FX32" i="1"/>
  <c r="DO32" i="1"/>
  <c r="CH32" i="1"/>
  <c r="AAT31" i="1"/>
  <c r="ADV31" i="1"/>
  <c r="ADF31" i="1"/>
  <c r="YL31" i="1"/>
  <c r="XW31" i="1"/>
  <c r="XV31" i="1" s="1"/>
  <c r="UD31" i="1"/>
  <c r="UE31" i="1"/>
  <c r="QW31" i="1"/>
  <c r="QX31" i="1" s="1"/>
  <c r="TZ31" i="1" s="1"/>
  <c r="QQ31" i="1"/>
  <c r="QS31" i="1" s="1"/>
  <c r="VN31" i="1"/>
  <c r="WC31" i="1" s="1"/>
  <c r="YR31" i="1" s="1"/>
  <c r="PC31" i="1"/>
  <c r="JQ31" i="1"/>
  <c r="IA31" i="1"/>
  <c r="IB31" i="1" s="1"/>
  <c r="ABN31" i="1"/>
  <c r="GH31" i="1"/>
  <c r="FX31" i="1"/>
  <c r="CW31" i="1"/>
  <c r="CN31" i="1"/>
  <c r="CO31" i="1" s="1"/>
  <c r="BX31" i="1"/>
  <c r="ABJ44" i="1"/>
  <c r="ZI44" i="1"/>
  <c r="AAV44" i="1"/>
  <c r="BL44" i="1"/>
  <c r="ABI43" i="1"/>
  <c r="ABL43" i="1" s="1"/>
  <c r="ZH43" i="1"/>
  <c r="ZJ43" i="1" s="1"/>
  <c r="MR43" i="1"/>
  <c r="MS43" i="1" s="1"/>
  <c r="BL43" i="1"/>
  <c r="AAV43" i="1"/>
  <c r="ZH41" i="1"/>
  <c r="ZJ41" i="1" s="1"/>
  <c r="ABI41" i="1"/>
  <c r="ABL41" i="1" s="1"/>
  <c r="MR41" i="1"/>
  <c r="MS41" i="1" s="1"/>
  <c r="ABI38" i="1"/>
  <c r="ABL38" i="1" s="1"/>
  <c r="MR38" i="1"/>
  <c r="MS38" i="1" s="1"/>
  <c r="ZH38" i="1"/>
  <c r="ZJ38" i="1" s="1"/>
  <c r="ER38" i="1"/>
  <c r="JX38" i="1"/>
  <c r="EV38" i="1"/>
  <c r="EW38" i="1" s="1"/>
  <c r="EH38" i="1"/>
  <c r="FG38" i="1"/>
  <c r="DJ30" i="1"/>
  <c r="SD30" i="1"/>
  <c r="CY30" i="1"/>
  <c r="EV29" i="1"/>
  <c r="EW29" i="1" s="1"/>
  <c r="EH29" i="1"/>
  <c r="YE28" i="1"/>
  <c r="UD28" i="1"/>
  <c r="UE28" i="1" s="1"/>
  <c r="QK28" i="1"/>
  <c r="QL28" i="1" s="1"/>
  <c r="QN28" i="1"/>
  <c r="VC28" i="1"/>
  <c r="XX28" i="1" s="1"/>
  <c r="NY28" i="1"/>
  <c r="VG28" i="1"/>
  <c r="XZ28" i="1" s="1"/>
  <c r="NR28" i="1"/>
  <c r="VF28" i="1"/>
  <c r="NK28" i="1"/>
  <c r="VE28" i="1"/>
  <c r="YC28" i="1" s="1"/>
  <c r="NC28" i="1"/>
  <c r="VD28" i="1"/>
  <c r="YB28" i="1" s="1"/>
  <c r="MV28" i="1"/>
  <c r="JC28" i="1"/>
  <c r="CN28" i="1"/>
  <c r="CO28" i="1" s="1"/>
  <c r="BX28" i="1"/>
  <c r="AAV28" i="1"/>
  <c r="BL28" i="1"/>
  <c r="IC27" i="1"/>
  <c r="ID27" i="1"/>
  <c r="IE27" i="1" s="1"/>
  <c r="ABN27" i="1"/>
  <c r="GH27" i="1"/>
  <c r="YM26" i="1"/>
  <c r="YD26" i="1"/>
  <c r="OS26" i="1"/>
  <c r="OM26" i="1"/>
  <c r="AAY26" i="1"/>
  <c r="ADH26" i="1" s="1"/>
  <c r="ZC26" i="1"/>
  <c r="ZG26" i="1"/>
  <c r="ABG26" i="1"/>
  <c r="ADK26" i="1" s="1"/>
  <c r="ABD26" i="1"/>
  <c r="ZF26" i="1"/>
  <c r="ZE26" i="1"/>
  <c r="ABB26" i="1"/>
  <c r="ADN26" i="1" s="1"/>
  <c r="ABA26" i="1"/>
  <c r="ADM26" i="1" s="1"/>
  <c r="ZD26" i="1"/>
  <c r="EV26" i="1"/>
  <c r="EW26" i="1" s="1"/>
  <c r="EH26" i="1"/>
  <c r="SD26" i="1"/>
  <c r="CD26" i="1"/>
  <c r="YM25" i="1"/>
  <c r="YD25" i="1"/>
  <c r="ABN24" i="1"/>
  <c r="GH24" i="1"/>
  <c r="FX24" i="1"/>
  <c r="CY24" i="1"/>
  <c r="ZH33" i="1"/>
  <c r="ABI33" i="1"/>
  <c r="MR33" i="1"/>
  <c r="MS33" i="1" s="1"/>
  <c r="BL31" i="1"/>
  <c r="AAV31" i="1"/>
  <c r="MV30" i="1"/>
  <c r="VD30" i="1"/>
  <c r="YB30" i="1" s="1"/>
  <c r="VE30" i="1"/>
  <c r="YC30" i="1" s="1"/>
  <c r="NC30" i="1"/>
  <c r="NK30" i="1"/>
  <c r="VF30" i="1"/>
  <c r="VG30" i="1"/>
  <c r="XZ30" i="1" s="1"/>
  <c r="NR30" i="1"/>
  <c r="VC30" i="1"/>
  <c r="XX30" i="1" s="1"/>
  <c r="NY30" i="1"/>
  <c r="IL30" i="1"/>
  <c r="ZM30" i="1"/>
  <c r="IK30" i="1"/>
  <c r="ABU30" i="1"/>
  <c r="ZP30" i="1"/>
  <c r="OX30" i="1"/>
  <c r="UI30" i="1"/>
  <c r="UF30" i="1"/>
  <c r="TN30" i="1"/>
  <c r="EV30" i="1"/>
  <c r="EW30" i="1" s="1"/>
  <c r="EH30" i="1"/>
  <c r="JX29" i="1"/>
  <c r="ABP29" i="1"/>
  <c r="IM29" i="1"/>
  <c r="IN29" i="1"/>
  <c r="IO29" i="1" s="1"/>
  <c r="GH29" i="1"/>
  <c r="ABN29" i="1"/>
  <c r="YM28" i="1"/>
  <c r="YD28" i="1"/>
  <c r="IA28" i="1"/>
  <c r="IB28" i="1" s="1"/>
  <c r="ADK27" i="1"/>
  <c r="FB27" i="1"/>
  <c r="SD27" i="1"/>
  <c r="EH27" i="1"/>
  <c r="EV27" i="1"/>
  <c r="AD27" i="1"/>
  <c r="VK27" i="1"/>
  <c r="AE27" i="1"/>
  <c r="YL26" i="1"/>
  <c r="XW26" i="1"/>
  <c r="VN26" i="1"/>
  <c r="WC26" i="1" s="1"/>
  <c r="YR26" i="1" s="1"/>
  <c r="PC26" i="1"/>
  <c r="JQ26" i="1"/>
  <c r="YE25" i="1"/>
  <c r="UF25" i="1"/>
  <c r="TN25" i="1"/>
  <c r="UI25" i="1"/>
  <c r="OX24" i="1"/>
  <c r="ABU24" i="1"/>
  <c r="ZP24" i="1"/>
  <c r="NY24" i="1"/>
  <c r="VC24" i="1"/>
  <c r="XX24" i="1" s="1"/>
  <c r="NR24" i="1"/>
  <c r="VG24" i="1"/>
  <c r="XZ24" i="1" s="1"/>
  <c r="VF24" i="1"/>
  <c r="NK24" i="1"/>
  <c r="NC24" i="1"/>
  <c r="VE24" i="1"/>
  <c r="YC24" i="1" s="1"/>
  <c r="VD24" i="1"/>
  <c r="YB24" i="1" s="1"/>
  <c r="MV24" i="1"/>
  <c r="ABI24" i="1"/>
  <c r="ZH24" i="1"/>
  <c r="MR24" i="1"/>
  <c r="MS24" i="1" s="1"/>
  <c r="DO24" i="1"/>
  <c r="CH24" i="1"/>
  <c r="BX24" i="1"/>
  <c r="CN24" i="1"/>
  <c r="CO24" i="1" s="1"/>
  <c r="ZM23" i="1"/>
  <c r="IK23" i="1"/>
  <c r="IL23" i="1"/>
  <c r="IA20" i="1"/>
  <c r="IB20" i="1" s="1"/>
  <c r="UI15" i="1"/>
  <c r="UF15" i="1"/>
  <c r="TN15" i="1"/>
  <c r="VC15" i="1"/>
  <c r="XX15" i="1" s="1"/>
  <c r="NY15" i="1"/>
  <c r="VG15" i="1"/>
  <c r="XZ15" i="1" s="1"/>
  <c r="NR15" i="1"/>
  <c r="VF15" i="1"/>
  <c r="NK15" i="1"/>
  <c r="VE15" i="1"/>
  <c r="YC15" i="1" s="1"/>
  <c r="NC15" i="1"/>
  <c r="VD15" i="1"/>
  <c r="YB15" i="1" s="1"/>
  <c r="MV15" i="1"/>
  <c r="DT15" i="1"/>
  <c r="CT15" i="1"/>
  <c r="SD15" i="1"/>
  <c r="YE13" i="1"/>
  <c r="VO13" i="1"/>
  <c r="UD13" i="1"/>
  <c r="UE13" i="1" s="1"/>
  <c r="VC13" i="1"/>
  <c r="XX13" i="1" s="1"/>
  <c r="NY13" i="1"/>
  <c r="VG13" i="1"/>
  <c r="XZ13" i="1" s="1"/>
  <c r="NR13" i="1"/>
  <c r="VF13" i="1"/>
  <c r="NK13" i="1"/>
  <c r="VE13" i="1"/>
  <c r="YC13" i="1" s="1"/>
  <c r="NC13" i="1"/>
  <c r="VD13" i="1"/>
  <c r="YB13" i="1" s="1"/>
  <c r="MV13" i="1"/>
  <c r="LA13" i="1"/>
  <c r="FG30" i="1"/>
  <c r="FX30" i="1"/>
  <c r="ABN30" i="1"/>
  <c r="GH30" i="1"/>
  <c r="EH23" i="1"/>
  <c r="EV23" i="1"/>
  <c r="EW23" i="1" s="1"/>
  <c r="IA22" i="1"/>
  <c r="IB22" i="1" s="1"/>
  <c r="VG19" i="1"/>
  <c r="XZ19" i="1" s="1"/>
  <c r="NR19" i="1"/>
  <c r="VE19" i="1"/>
  <c r="YC19" i="1" s="1"/>
  <c r="NC19" i="1"/>
  <c r="SQ19" i="1"/>
  <c r="SS19" i="1" s="1"/>
  <c r="LA19" i="1"/>
  <c r="CK19" i="1" s="1"/>
  <c r="OX18" i="1"/>
  <c r="ABU18" i="1"/>
  <c r="ZP18" i="1"/>
  <c r="ZG18" i="1"/>
  <c r="ABG18" i="1"/>
  <c r="ADK18" i="1" s="1"/>
  <c r="ZE18" i="1"/>
  <c r="ABB18" i="1"/>
  <c r="ADN18" i="1" s="1"/>
  <c r="GT18" i="1"/>
  <c r="ADV17" i="1"/>
  <c r="ADF17" i="1"/>
  <c r="AAT17" i="1"/>
  <c r="VN16" i="1"/>
  <c r="WC16" i="1" s="1"/>
  <c r="YR16" i="1" s="1"/>
  <c r="PC16" i="1"/>
  <c r="JQ16" i="1"/>
  <c r="FX15" i="1"/>
  <c r="ER15" i="1"/>
  <c r="VK15" i="1"/>
  <c r="AD15" i="1"/>
  <c r="AE15" i="1"/>
  <c r="GX14" i="1"/>
  <c r="CO14" i="1"/>
  <c r="AAV13" i="1"/>
  <c r="BL13" i="1"/>
  <c r="ABU12" i="1"/>
  <c r="ZP12" i="1"/>
  <c r="OX12" i="1"/>
  <c r="VC12" i="1"/>
  <c r="XX12" i="1" s="1"/>
  <c r="NY12" i="1"/>
  <c r="VG12" i="1"/>
  <c r="XZ12" i="1" s="1"/>
  <c r="NR12" i="1"/>
  <c r="VF12" i="1"/>
  <c r="NK12" i="1"/>
  <c r="VE12" i="1"/>
  <c r="YC12" i="1" s="1"/>
  <c r="NC12" i="1"/>
  <c r="VD12" i="1"/>
  <c r="YB12" i="1" s="1"/>
  <c r="MV12" i="1"/>
  <c r="JC12" i="1"/>
  <c r="DO12" i="1"/>
  <c r="CH12" i="1"/>
  <c r="CN12" i="1"/>
  <c r="CO12" i="1" s="1"/>
  <c r="BX12" i="1"/>
  <c r="AAV12" i="1"/>
  <c r="BL12" i="1"/>
  <c r="OX11" i="1"/>
  <c r="ABU11" i="1"/>
  <c r="ZP11" i="1"/>
  <c r="ZM11" i="1"/>
  <c r="IL11" i="1"/>
  <c r="IK11" i="1"/>
  <c r="UI9" i="1"/>
  <c r="UF9" i="1"/>
  <c r="TN9" i="1"/>
  <c r="QW16" i="1"/>
  <c r="QX16" i="1" s="1"/>
  <c r="TZ16" i="1" s="1"/>
  <c r="QQ16" i="1"/>
  <c r="QS16" i="1" s="1"/>
  <c r="XV45" i="1"/>
  <c r="ZN45" i="1"/>
  <c r="ADE43" i="1"/>
  <c r="ADE41" i="1"/>
  <c r="VJ40" i="1"/>
  <c r="KH36" i="1"/>
  <c r="SD34" i="1"/>
  <c r="ZN32" i="1"/>
  <c r="XV44" i="1"/>
  <c r="ZN44" i="1"/>
  <c r="ADE40" i="1"/>
  <c r="VJ38" i="1"/>
  <c r="KO34" i="1"/>
  <c r="ADE37" i="1"/>
  <c r="KO29" i="1"/>
  <c r="JD19" i="1"/>
  <c r="JE19" i="1" s="1"/>
  <c r="ZN18" i="1"/>
  <c r="IA37" i="1"/>
  <c r="IB37" i="1" s="1"/>
  <c r="CY37" i="1"/>
  <c r="YM36" i="1"/>
  <c r="YD36" i="1"/>
  <c r="OS36" i="1"/>
  <c r="OM36" i="1"/>
  <c r="AAY36" i="1"/>
  <c r="ADH36" i="1" s="1"/>
  <c r="ZC36" i="1"/>
  <c r="ZG36" i="1"/>
  <c r="ABG36" i="1"/>
  <c r="ADK36" i="1" s="1"/>
  <c r="ABD36" i="1"/>
  <c r="ZF36" i="1"/>
  <c r="ZE36" i="1"/>
  <c r="ABB36" i="1"/>
  <c r="ADN36" i="1" s="1"/>
  <c r="ABA36" i="1"/>
  <c r="ADM36" i="1" s="1"/>
  <c r="ZD36" i="1"/>
  <c r="JC36" i="1"/>
  <c r="GT36" i="1"/>
  <c r="CD36" i="1"/>
  <c r="JL36" i="1"/>
  <c r="JG36" i="1"/>
  <c r="JH36" i="1" s="1"/>
  <c r="FO36" i="1"/>
  <c r="FQ36" i="1" s="1"/>
  <c r="FK36" i="1"/>
  <c r="FL36" i="1" s="1"/>
  <c r="ABW36" i="1" s="1"/>
  <c r="FD36" i="1"/>
  <c r="FE36" i="1" s="1"/>
  <c r="EK36" i="1"/>
  <c r="EM36" i="1" s="1"/>
  <c r="EG36" i="1"/>
  <c r="KB36" i="1"/>
  <c r="KC36" i="1" s="1"/>
  <c r="JU36" i="1"/>
  <c r="JV36" i="1" s="1"/>
  <c r="IX36" i="1"/>
  <c r="IQ36" i="1"/>
  <c r="IR36" i="1" s="1"/>
  <c r="GF36" i="1"/>
  <c r="GB36" i="1"/>
  <c r="GC36" i="1" s="1"/>
  <c r="FU36" i="1"/>
  <c r="FV36" i="1" s="1"/>
  <c r="FS36" i="1"/>
  <c r="FT36" i="1" s="1"/>
  <c r="EZ36" i="1"/>
  <c r="FB36" i="1" s="1"/>
  <c r="EO36" i="1"/>
  <c r="EP36" i="1" s="1"/>
  <c r="ABU35" i="1"/>
  <c r="ZP35" i="1"/>
  <c r="OX35" i="1"/>
  <c r="VC35" i="1"/>
  <c r="XX35" i="1" s="1"/>
  <c r="NY35" i="1"/>
  <c r="VG35" i="1"/>
  <c r="XZ35" i="1" s="1"/>
  <c r="NR35" i="1"/>
  <c r="VF35" i="1"/>
  <c r="NK35" i="1"/>
  <c r="VE35" i="1"/>
  <c r="YC35" i="1" s="1"/>
  <c r="NC35" i="1"/>
  <c r="VD35" i="1"/>
  <c r="YB35" i="1" s="1"/>
  <c r="MV35" i="1"/>
  <c r="ABI35" i="1"/>
  <c r="MR35" i="1"/>
  <c r="MS35" i="1" s="1"/>
  <c r="ZH35" i="1"/>
  <c r="CN35" i="1"/>
  <c r="CO35" i="1" s="1"/>
  <c r="BX35" i="1"/>
  <c r="AAV35" i="1"/>
  <c r="BL35" i="1"/>
  <c r="YM34" i="1"/>
  <c r="YD34" i="1"/>
  <c r="ABU34" i="1"/>
  <c r="ZP34" i="1"/>
  <c r="ZN34" i="1" s="1"/>
  <c r="OX34" i="1"/>
  <c r="VC34" i="1"/>
  <c r="XX34" i="1" s="1"/>
  <c r="NY34" i="1"/>
  <c r="VG34" i="1"/>
  <c r="XZ34" i="1" s="1"/>
  <c r="NR34" i="1"/>
  <c r="VF34" i="1"/>
  <c r="NK34" i="1"/>
  <c r="VE34" i="1"/>
  <c r="YC34" i="1" s="1"/>
  <c r="NC34" i="1"/>
  <c r="VD34" i="1"/>
  <c r="YB34" i="1" s="1"/>
  <c r="MV34" i="1"/>
  <c r="ABI34" i="1"/>
  <c r="MR34" i="1"/>
  <c r="MS34" i="1" s="1"/>
  <c r="ZH34" i="1"/>
  <c r="JC34" i="1"/>
  <c r="GT34" i="1"/>
  <c r="DO34" i="1"/>
  <c r="UI33" i="1"/>
  <c r="UJ33" i="1" s="1"/>
  <c r="UF33" i="1"/>
  <c r="UG33" i="1" s="1"/>
  <c r="TN33" i="1"/>
  <c r="ABJ33" i="1"/>
  <c r="ZI33" i="1"/>
  <c r="JQ33" i="1"/>
  <c r="IA33" i="1"/>
  <c r="IB33" i="1" s="1"/>
  <c r="CW33" i="1"/>
  <c r="CN33" i="1"/>
  <c r="CO33" i="1" s="1"/>
  <c r="BX33" i="1"/>
  <c r="AAV33" i="1"/>
  <c r="BL33" i="1"/>
  <c r="YM32" i="1"/>
  <c r="YD32" i="1"/>
  <c r="OS32" i="1"/>
  <c r="OM32" i="1"/>
  <c r="AAY32" i="1"/>
  <c r="ADH32" i="1" s="1"/>
  <c r="ZC32" i="1"/>
  <c r="ZG32" i="1"/>
  <c r="ABG32" i="1"/>
  <c r="ADK32" i="1" s="1"/>
  <c r="ABD32" i="1"/>
  <c r="ZF32" i="1"/>
  <c r="ZE32" i="1"/>
  <c r="ABB32" i="1"/>
  <c r="ADN32" i="1" s="1"/>
  <c r="ABA32" i="1"/>
  <c r="ADM32" i="1" s="1"/>
  <c r="ZD32" i="1"/>
  <c r="CW32" i="1"/>
  <c r="CN32" i="1"/>
  <c r="CO32" i="1" s="1"/>
  <c r="BX32" i="1"/>
  <c r="AAV32" i="1"/>
  <c r="BL32" i="1"/>
  <c r="OS31" i="1"/>
  <c r="OM31" i="1"/>
  <c r="AAY31" i="1"/>
  <c r="ADH31" i="1" s="1"/>
  <c r="ZC31" i="1"/>
  <c r="ZG31" i="1"/>
  <c r="ABG31" i="1"/>
  <c r="ADK31" i="1" s="1"/>
  <c r="ABD31" i="1"/>
  <c r="ZF31" i="1"/>
  <c r="ZE31" i="1"/>
  <c r="ABB31" i="1"/>
  <c r="ADN31" i="1" s="1"/>
  <c r="ABA31" i="1"/>
  <c r="ADM31" i="1" s="1"/>
  <c r="ZD31" i="1"/>
  <c r="FG31" i="1"/>
  <c r="EV31" i="1"/>
  <c r="EW31" i="1" s="1"/>
  <c r="EH31" i="1"/>
  <c r="ZM38" i="1"/>
  <c r="IK38" i="1"/>
  <c r="IL38" i="1"/>
  <c r="UF38" i="1"/>
  <c r="UG38" i="1" s="1"/>
  <c r="TN38" i="1"/>
  <c r="UI38" i="1"/>
  <c r="UJ38" i="1" s="1"/>
  <c r="SO38" i="1"/>
  <c r="VD38" i="1"/>
  <c r="YB38" i="1" s="1"/>
  <c r="MV38" i="1"/>
  <c r="VE38" i="1"/>
  <c r="YC38" i="1" s="1"/>
  <c r="NC38" i="1"/>
  <c r="VF38" i="1"/>
  <c r="NK38" i="1"/>
  <c r="VG38" i="1"/>
  <c r="XZ38" i="1" s="1"/>
  <c r="NR38" i="1"/>
  <c r="VC38" i="1"/>
  <c r="XX38" i="1" s="1"/>
  <c r="NY38" i="1"/>
  <c r="YM38" i="1"/>
  <c r="YD38" i="1"/>
  <c r="VC37" i="1"/>
  <c r="XX37" i="1" s="1"/>
  <c r="NY37" i="1"/>
  <c r="VG37" i="1"/>
  <c r="XZ37" i="1" s="1"/>
  <c r="NR37" i="1"/>
  <c r="NK37" i="1"/>
  <c r="VF37" i="1"/>
  <c r="VE37" i="1"/>
  <c r="YC37" i="1" s="1"/>
  <c r="NC37" i="1"/>
  <c r="MV37" i="1"/>
  <c r="VD37" i="1"/>
  <c r="YB37" i="1" s="1"/>
  <c r="SD37" i="1"/>
  <c r="SO37" i="1" s="1"/>
  <c r="CD37" i="1"/>
  <c r="YL36" i="1"/>
  <c r="XW36" i="1"/>
  <c r="XV36" i="1" s="1"/>
  <c r="UJ36" i="1"/>
  <c r="UD36" i="1"/>
  <c r="UG36" i="1"/>
  <c r="UE36" i="1"/>
  <c r="QW36" i="1"/>
  <c r="QX36" i="1" s="1"/>
  <c r="TZ36" i="1" s="1"/>
  <c r="QQ36" i="1"/>
  <c r="QS36" i="1" s="1"/>
  <c r="VN36" i="1"/>
  <c r="WC36" i="1" s="1"/>
  <c r="YR36" i="1" s="1"/>
  <c r="PC36" i="1"/>
  <c r="JQ36" i="1"/>
  <c r="IA36" i="1"/>
  <c r="IB36" i="1" s="1"/>
  <c r="CY36" i="1"/>
  <c r="ADV35" i="1"/>
  <c r="ADF35" i="1"/>
  <c r="ADE35" i="1" s="1"/>
  <c r="AAT35" i="1"/>
  <c r="YE35" i="1"/>
  <c r="VO35" i="1"/>
  <c r="UF35" i="1"/>
  <c r="UG35" i="1" s="1"/>
  <c r="TN35" i="1"/>
  <c r="UI35" i="1"/>
  <c r="UJ35" i="1" s="1"/>
  <c r="ZM35" i="1"/>
  <c r="IK35" i="1"/>
  <c r="IL35" i="1"/>
  <c r="ADV34" i="1"/>
  <c r="ADF34" i="1"/>
  <c r="ADE34" i="1" s="1"/>
  <c r="AAT34" i="1"/>
  <c r="YL34" i="1"/>
  <c r="XW34" i="1"/>
  <c r="XV34" i="1" s="1"/>
  <c r="UD34" i="1"/>
  <c r="UE34" i="1" s="1"/>
  <c r="UF34" i="1"/>
  <c r="UG34" i="1" s="1"/>
  <c r="TN34" i="1"/>
  <c r="UI34" i="1"/>
  <c r="UJ34" i="1" s="1"/>
  <c r="SO34" i="1"/>
  <c r="JX34" i="1"/>
  <c r="ZM34" i="1"/>
  <c r="IK34" i="1"/>
  <c r="IL34" i="1"/>
  <c r="ER34" i="1"/>
  <c r="VC33" i="1"/>
  <c r="XX33" i="1" s="1"/>
  <c r="NY33" i="1"/>
  <c r="VG33" i="1"/>
  <c r="XZ33" i="1" s="1"/>
  <c r="NR33" i="1"/>
  <c r="NK33" i="1"/>
  <c r="VF33" i="1"/>
  <c r="VE33" i="1"/>
  <c r="YC33" i="1" s="1"/>
  <c r="NC33" i="1"/>
  <c r="MV33" i="1"/>
  <c r="VD33" i="1"/>
  <c r="YB33" i="1" s="1"/>
  <c r="ADV32" i="1"/>
  <c r="ADF32" i="1"/>
  <c r="ADE32" i="1" s="1"/>
  <c r="AAT32" i="1"/>
  <c r="YE32" i="1"/>
  <c r="VO32" i="1"/>
  <c r="UF32" i="1"/>
  <c r="UG32" i="1" s="1"/>
  <c r="TN32" i="1"/>
  <c r="UI32" i="1"/>
  <c r="UJ32" i="1" s="1"/>
  <c r="SO32" i="1"/>
  <c r="JX32" i="1"/>
  <c r="ZM32" i="1"/>
  <c r="IK32" i="1"/>
  <c r="IL32" i="1"/>
  <c r="FG32" i="1"/>
  <c r="EV32" i="1"/>
  <c r="EW32" i="1" s="1"/>
  <c r="EH32" i="1"/>
  <c r="YE31" i="1"/>
  <c r="VO31" i="1"/>
  <c r="UF31" i="1"/>
  <c r="UG31" i="1" s="1"/>
  <c r="TN31" i="1"/>
  <c r="UI31" i="1"/>
  <c r="UJ31" i="1" s="1"/>
  <c r="JX31" i="1"/>
  <c r="ZM31" i="1"/>
  <c r="IK31" i="1"/>
  <c r="IL31" i="1"/>
  <c r="ER31" i="1"/>
  <c r="CD31" i="1"/>
  <c r="SD31" i="1"/>
  <c r="AD31" i="1"/>
  <c r="VK31" i="1"/>
  <c r="AE31" i="1"/>
  <c r="FX38" i="1"/>
  <c r="ABN38" i="1"/>
  <c r="GH38" i="1"/>
  <c r="YL33" i="1"/>
  <c r="XW33" i="1"/>
  <c r="XV33" i="1" s="1"/>
  <c r="YL30" i="1"/>
  <c r="XW30" i="1"/>
  <c r="XV30" i="1" s="1"/>
  <c r="CJ30" i="1"/>
  <c r="RZ30" i="1"/>
  <c r="SA30" i="1" s="1"/>
  <c r="MR29" i="1"/>
  <c r="MS29" i="1" s="1"/>
  <c r="ABI29" i="1"/>
  <c r="ZH29" i="1"/>
  <c r="EM29" i="1"/>
  <c r="SD29" i="1"/>
  <c r="AAV29" i="1"/>
  <c r="BL29" i="1"/>
  <c r="UI28" i="1"/>
  <c r="UJ28" i="1" s="1"/>
  <c r="UF28" i="1"/>
  <c r="UG28" i="1" s="1"/>
  <c r="TN28" i="1"/>
  <c r="ABU28" i="1"/>
  <c r="ZP28" i="1"/>
  <c r="OX28" i="1"/>
  <c r="OS28" i="1"/>
  <c r="OM28" i="1"/>
  <c r="AAY28" i="1"/>
  <c r="ADH28" i="1" s="1"/>
  <c r="ZC28" i="1"/>
  <c r="ABG28" i="1"/>
  <c r="ADK28" i="1" s="1"/>
  <c r="ZG28" i="1"/>
  <c r="ZF28" i="1"/>
  <c r="ABD28" i="1"/>
  <c r="ABB28" i="1"/>
  <c r="ADN28" i="1" s="1"/>
  <c r="ZE28" i="1"/>
  <c r="ZD28" i="1"/>
  <c r="ABA28" i="1"/>
  <c r="ADM28" i="1" s="1"/>
  <c r="ZH28" i="1"/>
  <c r="MR28" i="1"/>
  <c r="MS28" i="1" s="1"/>
  <c r="ABI28" i="1"/>
  <c r="GT28" i="1"/>
  <c r="CD28" i="1"/>
  <c r="JL28" i="1"/>
  <c r="JG28" i="1"/>
  <c r="JH28" i="1" s="1"/>
  <c r="FO28" i="1"/>
  <c r="FQ28" i="1" s="1"/>
  <c r="FK28" i="1"/>
  <c r="FL28" i="1" s="1"/>
  <c r="ABW28" i="1" s="1"/>
  <c r="EZ28" i="1"/>
  <c r="FB28" i="1" s="1"/>
  <c r="EK28" i="1"/>
  <c r="EM28" i="1" s="1"/>
  <c r="EG28" i="1"/>
  <c r="KB28" i="1"/>
  <c r="KC28" i="1" s="1"/>
  <c r="JU28" i="1"/>
  <c r="JV28" i="1" s="1"/>
  <c r="IX28" i="1"/>
  <c r="IQ28" i="1"/>
  <c r="IR28" i="1" s="1"/>
  <c r="GF28" i="1"/>
  <c r="GB28" i="1"/>
  <c r="GC28" i="1" s="1"/>
  <c r="JX27" i="1"/>
  <c r="GX27" i="1"/>
  <c r="ABU26" i="1"/>
  <c r="ZP26" i="1"/>
  <c r="OX26" i="1"/>
  <c r="VC26" i="1"/>
  <c r="XX26" i="1" s="1"/>
  <c r="NY26" i="1"/>
  <c r="VG26" i="1"/>
  <c r="XZ26" i="1" s="1"/>
  <c r="NR26" i="1"/>
  <c r="VF26" i="1"/>
  <c r="NK26" i="1"/>
  <c r="VE26" i="1"/>
  <c r="YC26" i="1" s="1"/>
  <c r="NC26" i="1"/>
  <c r="VD26" i="1"/>
  <c r="YB26" i="1" s="1"/>
  <c r="MV26" i="1"/>
  <c r="ABI26" i="1"/>
  <c r="MR26" i="1"/>
  <c r="MS26" i="1" s="1"/>
  <c r="ZH26" i="1"/>
  <c r="JC26" i="1"/>
  <c r="GT26" i="1"/>
  <c r="CN26" i="1"/>
  <c r="CO26" i="1" s="1"/>
  <c r="BX26" i="1"/>
  <c r="AAV26" i="1"/>
  <c r="BL26" i="1"/>
  <c r="ZM25" i="1"/>
  <c r="IL25" i="1"/>
  <c r="IK25" i="1"/>
  <c r="YM24" i="1"/>
  <c r="YD24" i="1"/>
  <c r="QW24" i="1"/>
  <c r="QX24" i="1" s="1"/>
  <c r="TZ24" i="1" s="1"/>
  <c r="QQ24" i="1"/>
  <c r="QS24" i="1" s="1"/>
  <c r="VN24" i="1"/>
  <c r="WC24" i="1" s="1"/>
  <c r="YR24" i="1" s="1"/>
  <c r="PC24" i="1"/>
  <c r="JX24" i="1"/>
  <c r="ZM24" i="1"/>
  <c r="IL24" i="1"/>
  <c r="IK24" i="1"/>
  <c r="YM23" i="1"/>
  <c r="YD23" i="1"/>
  <c r="ABU23" i="1"/>
  <c r="ZP23" i="1"/>
  <c r="OX23" i="1"/>
  <c r="VC23" i="1"/>
  <c r="XX23" i="1" s="1"/>
  <c r="NY23" i="1"/>
  <c r="VG23" i="1"/>
  <c r="XZ23" i="1" s="1"/>
  <c r="NR23" i="1"/>
  <c r="VF23" i="1"/>
  <c r="NK23" i="1"/>
  <c r="VE23" i="1"/>
  <c r="YC23" i="1" s="1"/>
  <c r="NC23" i="1"/>
  <c r="VD23" i="1"/>
  <c r="YB23" i="1" s="1"/>
  <c r="MV23" i="1"/>
  <c r="MR23" i="1"/>
  <c r="MS23" i="1" s="1"/>
  <c r="ABI23" i="1"/>
  <c r="ZH23" i="1"/>
  <c r="YL29" i="1"/>
  <c r="XW29" i="1"/>
  <c r="XV29" i="1" s="1"/>
  <c r="PC28" i="1"/>
  <c r="VN28" i="1"/>
  <c r="WC28" i="1" s="1"/>
  <c r="YR28" i="1" s="1"/>
  <c r="JQ28" i="1"/>
  <c r="UD26" i="1"/>
  <c r="UE26" i="1" s="1"/>
  <c r="IA26" i="1"/>
  <c r="IB26" i="1" s="1"/>
  <c r="ABN26" i="1"/>
  <c r="GH26" i="1"/>
  <c r="NY25" i="1"/>
  <c r="VC25" i="1"/>
  <c r="XX25" i="1" s="1"/>
  <c r="NR25" i="1"/>
  <c r="VG25" i="1"/>
  <c r="XZ25" i="1" s="1"/>
  <c r="VF25" i="1"/>
  <c r="NK25" i="1"/>
  <c r="NC25" i="1"/>
  <c r="VE25" i="1"/>
  <c r="YC25" i="1" s="1"/>
  <c r="VD25" i="1"/>
  <c r="YB25" i="1" s="1"/>
  <c r="MV25" i="1"/>
  <c r="BX25" i="1"/>
  <c r="CN25" i="1"/>
  <c r="CO25" i="1" s="1"/>
  <c r="UF24" i="1"/>
  <c r="TN24" i="1"/>
  <c r="UI24" i="1"/>
  <c r="YE23" i="1"/>
  <c r="UF23" i="1"/>
  <c r="TN23" i="1"/>
  <c r="UI23" i="1"/>
  <c r="EV21" i="1"/>
  <c r="EW21" i="1" s="1"/>
  <c r="EH21" i="1"/>
  <c r="KO21" i="1"/>
  <c r="UI20" i="1"/>
  <c r="UF20" i="1"/>
  <c r="TN20" i="1"/>
  <c r="ABU20" i="1"/>
  <c r="ZP20" i="1"/>
  <c r="OX20" i="1"/>
  <c r="YE14" i="1"/>
  <c r="VO14" i="1"/>
  <c r="UD14" i="1"/>
  <c r="UE14" i="1" s="1"/>
  <c r="VC14" i="1"/>
  <c r="XX14" i="1" s="1"/>
  <c r="NY14" i="1"/>
  <c r="VG14" i="1"/>
  <c r="XZ14" i="1" s="1"/>
  <c r="NR14" i="1"/>
  <c r="VF14" i="1"/>
  <c r="NK14" i="1"/>
  <c r="VE14" i="1"/>
  <c r="YC14" i="1" s="1"/>
  <c r="NC14" i="1"/>
  <c r="MV14" i="1"/>
  <c r="VD14" i="1"/>
  <c r="YB14" i="1" s="1"/>
  <c r="BL34" i="1"/>
  <c r="AAV34" i="1"/>
  <c r="AAV23" i="1"/>
  <c r="BL23" i="1"/>
  <c r="IK22" i="1"/>
  <c r="ZM22" i="1"/>
  <c r="IL22" i="1"/>
  <c r="YL21" i="1"/>
  <c r="XW21" i="1"/>
  <c r="XV21" i="1" s="1"/>
  <c r="YL20" i="1"/>
  <c r="XW20" i="1"/>
  <c r="XV20" i="1" s="1"/>
  <c r="EH20" i="1"/>
  <c r="EV20" i="1"/>
  <c r="ADL19" i="1"/>
  <c r="ADZ19" i="1"/>
  <c r="ABU17" i="1"/>
  <c r="ZP17" i="1"/>
  <c r="OX17" i="1"/>
  <c r="UD16" i="1"/>
  <c r="UE16" i="1" s="1"/>
  <c r="ABJ15" i="1"/>
  <c r="ZI15" i="1"/>
  <c r="JX15" i="1"/>
  <c r="UI12" i="1"/>
  <c r="UF12" i="1"/>
  <c r="TN12" i="1"/>
  <c r="LA11" i="1"/>
  <c r="DD11" i="1"/>
  <c r="CY11" i="1"/>
  <c r="ZH10" i="1"/>
  <c r="MR10" i="1"/>
  <c r="MS10" i="1" s="1"/>
  <c r="ABI10" i="1"/>
  <c r="RZ10" i="1"/>
  <c r="SA10" i="1" s="1"/>
  <c r="EV10" i="1"/>
  <c r="EW10" i="1" s="1"/>
  <c r="EH10" i="1"/>
  <c r="KO10" i="1"/>
  <c r="AAV10" i="1"/>
  <c r="BL10" i="1"/>
  <c r="QW9" i="1"/>
  <c r="QX9" i="1" s="1"/>
  <c r="TZ9" i="1" s="1"/>
  <c r="QQ9" i="1"/>
  <c r="QS9" i="1" s="1"/>
  <c r="ABU9" i="1"/>
  <c r="ZP9" i="1"/>
  <c r="OX9" i="1"/>
  <c r="OS9" i="1"/>
  <c r="OM9" i="1"/>
  <c r="AAY9" i="1"/>
  <c r="ADH9" i="1" s="1"/>
  <c r="ZC9" i="1"/>
  <c r="ABG9" i="1"/>
  <c r="ADK9" i="1" s="1"/>
  <c r="ZG9" i="1"/>
  <c r="ZF9" i="1"/>
  <c r="ABD9" i="1"/>
  <c r="ABB9" i="1"/>
  <c r="ADN9" i="1" s="1"/>
  <c r="ZE9" i="1"/>
  <c r="ZD9" i="1"/>
  <c r="ABA9" i="1"/>
  <c r="ADM9" i="1" s="1"/>
  <c r="ZH9" i="1"/>
  <c r="MR9" i="1"/>
  <c r="MS9" i="1" s="1"/>
  <c r="ABI9" i="1"/>
  <c r="CH9" i="1"/>
  <c r="CN9" i="1"/>
  <c r="CO9" i="1" s="1"/>
  <c r="BX9" i="1"/>
  <c r="AAV9" i="1"/>
  <c r="BL9" i="1"/>
  <c r="QW17" i="1"/>
  <c r="QX17" i="1" s="1"/>
  <c r="TZ17" i="1" s="1"/>
  <c r="QQ17" i="1"/>
  <c r="QS17" i="1" s="1"/>
  <c r="QW19" i="1"/>
  <c r="QX19" i="1" s="1"/>
  <c r="TZ19" i="1" s="1"/>
  <c r="QQ19" i="1"/>
  <c r="QS19" i="1" s="1"/>
  <c r="BJ45" i="1"/>
  <c r="ADE45" i="1"/>
  <c r="ADE42" i="1"/>
  <c r="BJ40" i="1"/>
  <c r="ZN40" i="1"/>
  <c r="ADE39" i="1"/>
  <c r="BJ39" i="1"/>
  <c r="ZN39" i="1"/>
  <c r="KH38" i="1"/>
  <c r="ZN36" i="1"/>
  <c r="KH35" i="1"/>
  <c r="KH32" i="1"/>
  <c r="KH31" i="1"/>
  <c r="BJ44" i="1"/>
  <c r="ADE44" i="1"/>
  <c r="XV43" i="1"/>
  <c r="ZN43" i="1"/>
  <c r="XV42" i="1"/>
  <c r="XV41" i="1"/>
  <c r="XV39" i="1"/>
  <c r="ZN38" i="1"/>
  <c r="XV37" i="1"/>
  <c r="ZN31" i="1"/>
  <c r="QN30" i="1"/>
  <c r="QW30" i="1" s="1"/>
  <c r="QX30" i="1" s="1"/>
  <c r="TZ30" i="1" s="1"/>
  <c r="KO30" i="1"/>
  <c r="LA20" i="1"/>
  <c r="GM14" i="1"/>
  <c r="GN14" i="1" s="1"/>
  <c r="BJ37" i="1"/>
  <c r="ZN37" i="1"/>
  <c r="RZ34" i="1"/>
  <c r="SA34" i="1" s="1"/>
  <c r="QK29" i="1"/>
  <c r="QL29" i="1" s="1"/>
  <c r="QN29" i="1"/>
  <c r="BL27" i="1"/>
  <c r="AAV27" i="1"/>
  <c r="QK22" i="1"/>
  <c r="QL22" i="1" s="1"/>
  <c r="QN22" i="1"/>
  <c r="ZH22" i="1"/>
  <c r="MR22" i="1"/>
  <c r="MS22" i="1" s="1"/>
  <c r="ABI22" i="1"/>
  <c r="GT22" i="1"/>
  <c r="YL22" i="1"/>
  <c r="XW22" i="1"/>
  <c r="CD22" i="1"/>
  <c r="SQ22" i="1"/>
  <c r="SS22" i="1" s="1"/>
  <c r="LA22" i="1"/>
  <c r="CK22" i="1" s="1"/>
  <c r="ZD22" i="1"/>
  <c r="ABA22" i="1"/>
  <c r="ADM22" i="1" s="1"/>
  <c r="ABB22" i="1"/>
  <c r="ADN22" i="1" s="1"/>
  <c r="ZE22" i="1"/>
  <c r="ZF22" i="1"/>
  <c r="ABD22" i="1"/>
  <c r="ABG22" i="1"/>
  <c r="ADK22" i="1" s="1"/>
  <c r="ZG22" i="1"/>
  <c r="AAY22" i="1"/>
  <c r="ADH22" i="1" s="1"/>
  <c r="ZC22" i="1"/>
  <c r="OS22" i="1"/>
  <c r="OM22" i="1"/>
  <c r="ABU22" i="1"/>
  <c r="ZP22" i="1"/>
  <c r="OX22" i="1"/>
  <c r="UD22" i="1"/>
  <c r="UE22" i="1" s="1"/>
  <c r="YE22" i="1"/>
  <c r="VO22" i="1"/>
  <c r="AAV21" i="1"/>
  <c r="BL21" i="1"/>
  <c r="ABJ20" i="1"/>
  <c r="ABM20" i="1" s="1"/>
  <c r="ZI20" i="1"/>
  <c r="KB19" i="1"/>
  <c r="KC19" i="1" s="1"/>
  <c r="JU19" i="1"/>
  <c r="JV19" i="1" s="1"/>
  <c r="JX19" i="1" s="1"/>
  <c r="IX19" i="1"/>
  <c r="IQ19" i="1"/>
  <c r="IR19" i="1" s="1"/>
  <c r="GF19" i="1"/>
  <c r="GB19" i="1"/>
  <c r="GC19" i="1" s="1"/>
  <c r="JG19" i="1"/>
  <c r="JH19" i="1" s="1"/>
  <c r="FO19" i="1"/>
  <c r="FQ19" i="1" s="1"/>
  <c r="EZ19" i="1"/>
  <c r="FB19" i="1" s="1"/>
  <c r="EK19" i="1"/>
  <c r="JL19" i="1"/>
  <c r="FK19" i="1"/>
  <c r="FL19" i="1" s="1"/>
  <c r="ABW19" i="1" s="1"/>
  <c r="EG19" i="1"/>
  <c r="IA19" i="1"/>
  <c r="IB19" i="1" s="1"/>
  <c r="KY19" i="1"/>
  <c r="KZ19" i="1" s="1"/>
  <c r="ABU19" i="1"/>
  <c r="ZP19" i="1"/>
  <c r="OX19" i="1"/>
  <c r="UI19" i="1"/>
  <c r="UF19" i="1"/>
  <c r="TN19" i="1"/>
  <c r="QK15" i="1"/>
  <c r="QL15" i="1" s="1"/>
  <c r="QN15" i="1"/>
  <c r="ZH15" i="1"/>
  <c r="ZJ15" i="1" s="1"/>
  <c r="MR15" i="1"/>
  <c r="MS15" i="1" s="1"/>
  <c r="ABI15" i="1"/>
  <c r="ABL15" i="1" s="1"/>
  <c r="GT15" i="1"/>
  <c r="YL15" i="1"/>
  <c r="XW15" i="1"/>
  <c r="XV15" i="1" s="1"/>
  <c r="QK13" i="1"/>
  <c r="QL13" i="1" s="1"/>
  <c r="QN13" i="1"/>
  <c r="ZH13" i="1"/>
  <c r="MR13" i="1"/>
  <c r="MS13" i="1" s="1"/>
  <c r="ABI13" i="1"/>
  <c r="GH13" i="1"/>
  <c r="ABN13" i="1"/>
  <c r="ADX21" i="1"/>
  <c r="ADB21" i="1"/>
  <c r="ABQ21" i="1"/>
  <c r="ADV21" i="1"/>
  <c r="ADF21" i="1"/>
  <c r="ADE21" i="1" s="1"/>
  <c r="AAT21" i="1"/>
  <c r="UD18" i="1"/>
  <c r="UE18" i="1"/>
  <c r="OM18" i="1"/>
  <c r="OS18" i="1"/>
  <c r="NY18" i="1"/>
  <c r="VC18" i="1"/>
  <c r="XX18" i="1" s="1"/>
  <c r="VF18" i="1"/>
  <c r="NK18" i="1"/>
  <c r="VD18" i="1"/>
  <c r="YB18" i="1" s="1"/>
  <c r="MV18" i="1"/>
  <c r="BX18" i="1"/>
  <c r="CN18" i="1"/>
  <c r="CO18" i="1" s="1"/>
  <c r="UF17" i="1"/>
  <c r="TN17" i="1"/>
  <c r="UI17" i="1"/>
  <c r="ZM17" i="1"/>
  <c r="IK17" i="1"/>
  <c r="IL17" i="1"/>
  <c r="IA17" i="1"/>
  <c r="IB17" i="1" s="1"/>
  <c r="UF16" i="1"/>
  <c r="UG16" i="1" s="1"/>
  <c r="TN16" i="1"/>
  <c r="UI16" i="1"/>
  <c r="UJ16" i="1" s="1"/>
  <c r="ZM16" i="1"/>
  <c r="IK16" i="1"/>
  <c r="IL16" i="1"/>
  <c r="IA16" i="1"/>
  <c r="IB16" i="1" s="1"/>
  <c r="AAV15" i="1"/>
  <c r="BL15" i="1"/>
  <c r="EH14" i="1"/>
  <c r="EV14" i="1"/>
  <c r="EW14" i="1" s="1"/>
  <c r="AAV14" i="1"/>
  <c r="BL14" i="1"/>
  <c r="YM12" i="1"/>
  <c r="YD12" i="1"/>
  <c r="PC12" i="1"/>
  <c r="VN12" i="1"/>
  <c r="WC12" i="1" s="1"/>
  <c r="YR12" i="1" s="1"/>
  <c r="JQ12" i="1"/>
  <c r="IA12" i="1"/>
  <c r="IB12" i="1" s="1"/>
  <c r="CY12" i="1"/>
  <c r="EV11" i="1"/>
  <c r="EW11" i="1" s="1"/>
  <c r="EH11" i="1"/>
  <c r="IA9" i="1"/>
  <c r="IB9" i="1" s="1"/>
  <c r="ABI27" i="1"/>
  <c r="ABL27" i="1" s="1"/>
  <c r="ZH27" i="1"/>
  <c r="ZJ27" i="1" s="1"/>
  <c r="MR27" i="1"/>
  <c r="MS27" i="1" s="1"/>
  <c r="IN27" i="1"/>
  <c r="IO27" i="1" s="1"/>
  <c r="ABP27" i="1"/>
  <c r="IM27" i="1"/>
  <c r="ZI26" i="1"/>
  <c r="ABJ26" i="1"/>
  <c r="ABI25" i="1"/>
  <c r="ABL25" i="1" s="1"/>
  <c r="ZH25" i="1"/>
  <c r="ZJ25" i="1" s="1"/>
  <c r="MR25" i="1"/>
  <c r="MS25" i="1" s="1"/>
  <c r="BL25" i="1"/>
  <c r="AAV25" i="1"/>
  <c r="JX23" i="1"/>
  <c r="GT21" i="1"/>
  <c r="ABN20" i="1"/>
  <c r="GH20" i="1"/>
  <c r="ZM18" i="1"/>
  <c r="IL18" i="1"/>
  <c r="IK18" i="1"/>
  <c r="VN18" i="1"/>
  <c r="WC18" i="1" s="1"/>
  <c r="YR18" i="1" s="1"/>
  <c r="PC18" i="1"/>
  <c r="QW18" i="1"/>
  <c r="QX18" i="1" s="1"/>
  <c r="TZ18" i="1" s="1"/>
  <c r="QQ18" i="1"/>
  <c r="QS18" i="1" s="1"/>
  <c r="YM18" i="1"/>
  <c r="YD18" i="1"/>
  <c r="ABI17" i="1"/>
  <c r="ABL17" i="1" s="1"/>
  <c r="MR17" i="1"/>
  <c r="MS17" i="1" s="1"/>
  <c r="ZH17" i="1"/>
  <c r="ZJ17" i="1" s="1"/>
  <c r="AAV17" i="1"/>
  <c r="BL17" i="1"/>
  <c r="JL17" i="1"/>
  <c r="JG17" i="1"/>
  <c r="JH17" i="1" s="1"/>
  <c r="FO17" i="1"/>
  <c r="FQ17" i="1" s="1"/>
  <c r="FK17" i="1"/>
  <c r="FL17" i="1" s="1"/>
  <c r="ABW17" i="1" s="1"/>
  <c r="EZ17" i="1"/>
  <c r="FB17" i="1" s="1"/>
  <c r="EK17" i="1"/>
  <c r="EM17" i="1" s="1"/>
  <c r="EG17" i="1"/>
  <c r="KB17" i="1"/>
  <c r="KC17" i="1" s="1"/>
  <c r="IQ17" i="1"/>
  <c r="IR17" i="1" s="1"/>
  <c r="GB17" i="1"/>
  <c r="GC17" i="1" s="1"/>
  <c r="JU17" i="1"/>
  <c r="JV17" i="1" s="1"/>
  <c r="IX17" i="1"/>
  <c r="GF17" i="1"/>
  <c r="CN17" i="1"/>
  <c r="CO17" i="1" s="1"/>
  <c r="BX17" i="1"/>
  <c r="JC17" i="1"/>
  <c r="ABA17" i="1"/>
  <c r="ADM17" i="1" s="1"/>
  <c r="ZD17" i="1"/>
  <c r="ZE17" i="1"/>
  <c r="ABB17" i="1"/>
  <c r="ADN17" i="1" s="1"/>
  <c r="ABD17" i="1"/>
  <c r="ZF17" i="1"/>
  <c r="ZG17" i="1"/>
  <c r="ABG17" i="1"/>
  <c r="ADK17" i="1" s="1"/>
  <c r="AAY17" i="1"/>
  <c r="ADH17" i="1" s="1"/>
  <c r="ZC17" i="1"/>
  <c r="OS17" i="1"/>
  <c r="OM17" i="1"/>
  <c r="YM17" i="1"/>
  <c r="YD17" i="1"/>
  <c r="ABI16" i="1"/>
  <c r="ABL16" i="1" s="1"/>
  <c r="MR16" i="1"/>
  <c r="MS16" i="1" s="1"/>
  <c r="ZH16" i="1"/>
  <c r="ZJ16" i="1" s="1"/>
  <c r="AAV16" i="1"/>
  <c r="BL16" i="1"/>
  <c r="JL16" i="1"/>
  <c r="JG16" i="1"/>
  <c r="JH16" i="1" s="1"/>
  <c r="FO16" i="1"/>
  <c r="FQ16" i="1" s="1"/>
  <c r="FK16" i="1"/>
  <c r="FL16" i="1" s="1"/>
  <c r="ABW16" i="1" s="1"/>
  <c r="EZ16" i="1"/>
  <c r="FB16" i="1" s="1"/>
  <c r="EK16" i="1"/>
  <c r="EM16" i="1" s="1"/>
  <c r="EG16" i="1"/>
  <c r="KB16" i="1"/>
  <c r="KC16" i="1" s="1"/>
  <c r="IQ16" i="1"/>
  <c r="IR16" i="1" s="1"/>
  <c r="GB16" i="1"/>
  <c r="GC16" i="1" s="1"/>
  <c r="JU16" i="1"/>
  <c r="JV16" i="1" s="1"/>
  <c r="IX16" i="1"/>
  <c r="GF16" i="1"/>
  <c r="CN16" i="1"/>
  <c r="CO16" i="1" s="1"/>
  <c r="BX16" i="1"/>
  <c r="JC16" i="1"/>
  <c r="ABA16" i="1"/>
  <c r="ADM16" i="1" s="1"/>
  <c r="ZD16" i="1"/>
  <c r="ZE16" i="1"/>
  <c r="ABB16" i="1"/>
  <c r="ADN16" i="1" s="1"/>
  <c r="ABD16" i="1"/>
  <c r="ZF16" i="1"/>
  <c r="ZG16" i="1"/>
  <c r="ABG16" i="1"/>
  <c r="ADK16" i="1" s="1"/>
  <c r="AAY16" i="1"/>
  <c r="ADH16" i="1" s="1"/>
  <c r="ZC16" i="1"/>
  <c r="OS16" i="1"/>
  <c r="OM16" i="1"/>
  <c r="ABU16" i="1"/>
  <c r="ZP16" i="1"/>
  <c r="OX16" i="1"/>
  <c r="YM16" i="1"/>
  <c r="YD16" i="1"/>
  <c r="QK14" i="1"/>
  <c r="QL14" i="1" s="1"/>
  <c r="QN14" i="1"/>
  <c r="ZH14" i="1"/>
  <c r="ZJ14" i="1" s="1"/>
  <c r="MR14" i="1"/>
  <c r="MS14" i="1" s="1"/>
  <c r="ABI14" i="1"/>
  <c r="ABL14" i="1" s="1"/>
  <c r="YN21" i="1"/>
  <c r="XS21" i="1"/>
  <c r="IF14" i="1"/>
  <c r="VL14" i="1"/>
  <c r="IG14" i="1"/>
  <c r="ABI11" i="1"/>
  <c r="ABL11" i="1" s="1"/>
  <c r="ZH11" i="1"/>
  <c r="ZJ11" i="1" s="1"/>
  <c r="MR11" i="1"/>
  <c r="MS11" i="1" s="1"/>
  <c r="ABJ10" i="1"/>
  <c r="ZI10" i="1"/>
  <c r="ID10" i="1"/>
  <c r="IE10" i="1" s="1"/>
  <c r="IC10" i="1"/>
  <c r="YN13" i="1"/>
  <c r="XS13" i="1"/>
  <c r="BL11" i="1"/>
  <c r="AAV11" i="1"/>
  <c r="ADP10" i="1"/>
  <c r="ABX10" i="1"/>
  <c r="ABV10" i="1"/>
  <c r="ABJ9" i="1"/>
  <c r="ZI9" i="1"/>
  <c r="BJ24" i="1"/>
  <c r="ZN24" i="1"/>
  <c r="ED22" i="1"/>
  <c r="EE22" i="1" s="1"/>
  <c r="JD22" i="1"/>
  <c r="JE22" i="1" s="1"/>
  <c r="GM19" i="1"/>
  <c r="GN19" i="1" s="1"/>
  <c r="JY19" i="1"/>
  <c r="JZ19" i="1" s="1"/>
  <c r="VJ18" i="1"/>
  <c r="ZN17" i="1"/>
  <c r="ZN16" i="1"/>
  <c r="ZN30" i="1"/>
  <c r="ADE28" i="1"/>
  <c r="VJ27" i="1"/>
  <c r="XV27" i="1"/>
  <c r="VJ25" i="1"/>
  <c r="KO23" i="1"/>
  <c r="ZN22" i="1"/>
  <c r="ZN19" i="1"/>
  <c r="KH18" i="1"/>
  <c r="VJ17" i="1"/>
  <c r="VJ16" i="1"/>
  <c r="XV14" i="1"/>
  <c r="MR20" i="1"/>
  <c r="MS20" i="1" s="1"/>
  <c r="ZJ20" i="1"/>
  <c r="XV12" i="1"/>
  <c r="ABM11" i="1"/>
  <c r="QW25" i="1"/>
  <c r="QX25" i="1" s="1"/>
  <c r="TZ25" i="1" s="1"/>
  <c r="QQ25" i="1"/>
  <c r="QS25" i="1" s="1"/>
  <c r="VN25" i="1"/>
  <c r="WC25" i="1" s="1"/>
  <c r="YR25" i="1" s="1"/>
  <c r="PC25" i="1"/>
  <c r="JQ25" i="1"/>
  <c r="IA25" i="1"/>
  <c r="IB25" i="1" s="1"/>
  <c r="KB25" i="1"/>
  <c r="KC25" i="1" s="1"/>
  <c r="JU25" i="1"/>
  <c r="JV25" i="1" s="1"/>
  <c r="IX25" i="1"/>
  <c r="IQ25" i="1"/>
  <c r="IR25" i="1" s="1"/>
  <c r="GF25" i="1"/>
  <c r="GB25" i="1"/>
  <c r="GC25" i="1" s="1"/>
  <c r="JL25" i="1"/>
  <c r="JG25" i="1"/>
  <c r="JH25" i="1" s="1"/>
  <c r="FO25" i="1"/>
  <c r="FQ25" i="1" s="1"/>
  <c r="FK25" i="1"/>
  <c r="FL25" i="1" s="1"/>
  <c r="ABW25" i="1" s="1"/>
  <c r="EZ25" i="1"/>
  <c r="FB25" i="1" s="1"/>
  <c r="EK25" i="1"/>
  <c r="EM25" i="1" s="1"/>
  <c r="EG25" i="1"/>
  <c r="JQ24" i="1"/>
  <c r="IA24" i="1"/>
  <c r="IB24" i="1" s="1"/>
  <c r="ER24" i="1"/>
  <c r="OS23" i="1"/>
  <c r="OM23" i="1"/>
  <c r="ZC23" i="1"/>
  <c r="AAY23" i="1"/>
  <c r="ADH23" i="1" s="1"/>
  <c r="ABG23" i="1"/>
  <c r="ADK23" i="1" s="1"/>
  <c r="ZG23" i="1"/>
  <c r="ABD23" i="1"/>
  <c r="ZF23" i="1"/>
  <c r="ABB23" i="1"/>
  <c r="ADN23" i="1" s="1"/>
  <c r="ZE23" i="1"/>
  <c r="ABA23" i="1"/>
  <c r="ADM23" i="1" s="1"/>
  <c r="ZD23" i="1"/>
  <c r="JC23" i="1"/>
  <c r="ZH37" i="1"/>
  <c r="ZJ37" i="1" s="1"/>
  <c r="ABI37" i="1"/>
  <c r="ABL37" i="1" s="1"/>
  <c r="MR37" i="1"/>
  <c r="MS37" i="1" s="1"/>
  <c r="ZI35" i="1"/>
  <c r="ABJ35" i="1"/>
  <c r="ZI34" i="1"/>
  <c r="ABJ34" i="1"/>
  <c r="ZI32" i="1"/>
  <c r="ABJ32" i="1"/>
  <c r="ZI31" i="1"/>
  <c r="ABJ31" i="1"/>
  <c r="ZH30" i="1"/>
  <c r="ABI30" i="1"/>
  <c r="MR30" i="1"/>
  <c r="MS30" i="1" s="1"/>
  <c r="JC30" i="1"/>
  <c r="ZD30" i="1"/>
  <c r="ABA30" i="1"/>
  <c r="ADM30" i="1" s="1"/>
  <c r="ABB30" i="1"/>
  <c r="ADN30" i="1" s="1"/>
  <c r="ZE30" i="1"/>
  <c r="ZF30" i="1"/>
  <c r="ABD30" i="1"/>
  <c r="ABG30" i="1"/>
  <c r="ADK30" i="1" s="1"/>
  <c r="ZG30" i="1"/>
  <c r="AAY30" i="1"/>
  <c r="ADH30" i="1" s="1"/>
  <c r="ADE30" i="1" s="1"/>
  <c r="ZC30" i="1"/>
  <c r="OM30" i="1"/>
  <c r="OS30" i="1"/>
  <c r="YM30" i="1"/>
  <c r="YD30" i="1"/>
  <c r="IA30" i="1"/>
  <c r="IB30" i="1" s="1"/>
  <c r="JQ30" i="1"/>
  <c r="VN30" i="1"/>
  <c r="WC30" i="1" s="1"/>
  <c r="YR30" i="1" s="1"/>
  <c r="PC30" i="1"/>
  <c r="UG30" i="1"/>
  <c r="UJ30" i="1"/>
  <c r="UD30" i="1"/>
  <c r="UE30" i="1" s="1"/>
  <c r="YE30" i="1"/>
  <c r="VK30" i="1"/>
  <c r="AD30" i="1"/>
  <c r="AE30" i="1"/>
  <c r="GT29" i="1"/>
  <c r="IK28" i="1"/>
  <c r="ZM28" i="1"/>
  <c r="IL28" i="1"/>
  <c r="ADP27" i="1"/>
  <c r="ABX27" i="1"/>
  <c r="ABV27" i="1"/>
  <c r="ADV26" i="1"/>
  <c r="ADF26" i="1"/>
  <c r="ADE26" i="1" s="1"/>
  <c r="AAT26" i="1"/>
  <c r="YE26" i="1"/>
  <c r="VO26" i="1"/>
  <c r="UF26" i="1"/>
  <c r="UG26" i="1" s="1"/>
  <c r="TN26" i="1"/>
  <c r="UI26" i="1"/>
  <c r="UJ26" i="1" s="1"/>
  <c r="JX26" i="1"/>
  <c r="ZM26" i="1"/>
  <c r="IK26" i="1"/>
  <c r="IL26" i="1"/>
  <c r="UJ25" i="1"/>
  <c r="UD25" i="1"/>
  <c r="UG25" i="1"/>
  <c r="UE25" i="1"/>
  <c r="OM25" i="1"/>
  <c r="OS25" i="1"/>
  <c r="AAY25" i="1"/>
  <c r="ADH25" i="1" s="1"/>
  <c r="ZC25" i="1"/>
  <c r="ZG25" i="1"/>
  <c r="ABG25" i="1"/>
  <c r="ADK25" i="1" s="1"/>
  <c r="ABD25" i="1"/>
  <c r="ZF25" i="1"/>
  <c r="ZE25" i="1"/>
  <c r="ABB25" i="1"/>
  <c r="ADN25" i="1" s="1"/>
  <c r="ABA25" i="1"/>
  <c r="ADM25" i="1" s="1"/>
  <c r="ZD25" i="1"/>
  <c r="JC25" i="1"/>
  <c r="CD25" i="1"/>
  <c r="SD25" i="1"/>
  <c r="AD25" i="1"/>
  <c r="VK25" i="1"/>
  <c r="AE25" i="1"/>
  <c r="YE24" i="1"/>
  <c r="VO24" i="1"/>
  <c r="UJ24" i="1"/>
  <c r="UD24" i="1"/>
  <c r="UG24" i="1"/>
  <c r="UE24" i="1"/>
  <c r="OM24" i="1"/>
  <c r="OS24" i="1"/>
  <c r="AAY24" i="1"/>
  <c r="ADH24" i="1" s="1"/>
  <c r="ZC24" i="1"/>
  <c r="ZG24" i="1"/>
  <c r="ABG24" i="1"/>
  <c r="ADK24" i="1" s="1"/>
  <c r="ABD24" i="1"/>
  <c r="ZF24" i="1"/>
  <c r="ZE24" i="1"/>
  <c r="ABB24" i="1"/>
  <c r="ADN24" i="1" s="1"/>
  <c r="ABA24" i="1"/>
  <c r="ADM24" i="1" s="1"/>
  <c r="ZD24" i="1"/>
  <c r="JC24" i="1"/>
  <c r="FG24" i="1"/>
  <c r="EV24" i="1"/>
  <c r="EW24" i="1" s="1"/>
  <c r="EH24" i="1"/>
  <c r="CD24" i="1"/>
  <c r="SD24" i="1"/>
  <c r="AD24" i="1"/>
  <c r="VK24" i="1"/>
  <c r="AE24" i="1"/>
  <c r="ADV23" i="1"/>
  <c r="ADF23" i="1"/>
  <c r="ADE23" i="1" s="1"/>
  <c r="YL23" i="1"/>
  <c r="XW23" i="1"/>
  <c r="XV23" i="1" s="1"/>
  <c r="UJ23" i="1"/>
  <c r="UD23" i="1"/>
  <c r="UG23" i="1"/>
  <c r="UE23" i="1"/>
  <c r="QW23" i="1"/>
  <c r="QX23" i="1" s="1"/>
  <c r="TZ23" i="1" s="1"/>
  <c r="QQ23" i="1"/>
  <c r="QS23" i="1" s="1"/>
  <c r="VN23" i="1"/>
  <c r="WC23" i="1" s="1"/>
  <c r="YR23" i="1" s="1"/>
  <c r="PC23" i="1"/>
  <c r="JQ23" i="1"/>
  <c r="IA23" i="1"/>
  <c r="IB23" i="1" s="1"/>
  <c r="GT23" i="1"/>
  <c r="SD21" i="1"/>
  <c r="EM21" i="1"/>
  <c r="YE20" i="1"/>
  <c r="UG20" i="1"/>
  <c r="UJ20" i="1"/>
  <c r="UD20" i="1"/>
  <c r="UE20" i="1" s="1"/>
  <c r="QW20" i="1"/>
  <c r="QX20" i="1" s="1"/>
  <c r="TZ20" i="1" s="1"/>
  <c r="QQ20" i="1"/>
  <c r="QS20" i="1" s="1"/>
  <c r="VN20" i="1"/>
  <c r="WC20" i="1" s="1"/>
  <c r="YR20" i="1" s="1"/>
  <c r="PC20" i="1"/>
  <c r="IL20" i="1"/>
  <c r="ZM20" i="1"/>
  <c r="IK20" i="1"/>
  <c r="YE15" i="1"/>
  <c r="VO15" i="1"/>
  <c r="UG15" i="1"/>
  <c r="UD15" i="1"/>
  <c r="UE15" i="1" s="1"/>
  <c r="UJ15" i="1"/>
  <c r="ABU15" i="1"/>
  <c r="ZP15" i="1"/>
  <c r="OX15" i="1"/>
  <c r="OS15" i="1"/>
  <c r="OM15" i="1"/>
  <c r="AAY15" i="1"/>
  <c r="ADH15" i="1" s="1"/>
  <c r="ZC15" i="1"/>
  <c r="ABG15" i="1"/>
  <c r="ADK15" i="1" s="1"/>
  <c r="ZG15" i="1"/>
  <c r="ZF15" i="1"/>
  <c r="ABD15" i="1"/>
  <c r="ABB15" i="1"/>
  <c r="ADN15" i="1" s="1"/>
  <c r="ZE15" i="1"/>
  <c r="ZD15" i="1"/>
  <c r="ABA15" i="1"/>
  <c r="ADM15" i="1" s="1"/>
  <c r="JC15" i="1"/>
  <c r="DO15" i="1"/>
  <c r="CH15" i="1"/>
  <c r="UI14" i="1"/>
  <c r="UJ14" i="1" s="1"/>
  <c r="UF14" i="1"/>
  <c r="UG14" i="1" s="1"/>
  <c r="TN14" i="1"/>
  <c r="ABU14" i="1"/>
  <c r="ZP14" i="1"/>
  <c r="OX14" i="1"/>
  <c r="OS14" i="1"/>
  <c r="OM14" i="1"/>
  <c r="AAY14" i="1"/>
  <c r="ADH14" i="1" s="1"/>
  <c r="ZC14" i="1"/>
  <c r="ABG14" i="1"/>
  <c r="ADK14" i="1" s="1"/>
  <c r="ZG14" i="1"/>
  <c r="ZF14" i="1"/>
  <c r="ABD14" i="1"/>
  <c r="ABB14" i="1"/>
  <c r="ADN14" i="1" s="1"/>
  <c r="ZE14" i="1"/>
  <c r="ZD14" i="1"/>
  <c r="ABA14" i="1"/>
  <c r="ADM14" i="1" s="1"/>
  <c r="UI13" i="1"/>
  <c r="UJ13" i="1" s="1"/>
  <c r="UF13" i="1"/>
  <c r="UG13" i="1" s="1"/>
  <c r="TN13" i="1"/>
  <c r="ABU13" i="1"/>
  <c r="ZP13" i="1"/>
  <c r="ZN13" i="1" s="1"/>
  <c r="OX13" i="1"/>
  <c r="OS13" i="1"/>
  <c r="OM13" i="1"/>
  <c r="AAY13" i="1"/>
  <c r="ADH13" i="1" s="1"/>
  <c r="ZC13" i="1"/>
  <c r="ABG13" i="1"/>
  <c r="ADK13" i="1" s="1"/>
  <c r="ZG13" i="1"/>
  <c r="ZF13" i="1"/>
  <c r="ABD13" i="1"/>
  <c r="ABB13" i="1"/>
  <c r="ADN13" i="1" s="1"/>
  <c r="ZE13" i="1"/>
  <c r="ZD13" i="1"/>
  <c r="ABA13" i="1"/>
  <c r="ADM13" i="1" s="1"/>
  <c r="AAV37" i="1"/>
  <c r="BL37" i="1"/>
  <c r="ZI36" i="1"/>
  <c r="ABJ36" i="1"/>
  <c r="ABJ30" i="1"/>
  <c r="ZI30" i="1"/>
  <c r="ER30" i="1"/>
  <c r="JX30" i="1"/>
  <c r="YL24" i="1"/>
  <c r="XW24" i="1"/>
  <c r="XV24" i="1" s="1"/>
  <c r="ABJ22" i="1"/>
  <c r="ZI22" i="1"/>
  <c r="YP20" i="1"/>
  <c r="YA20" i="1"/>
  <c r="AAV20" i="1"/>
  <c r="BL20" i="1"/>
  <c r="OM19" i="1"/>
  <c r="OS19" i="1"/>
  <c r="VC19" i="1"/>
  <c r="XX19" i="1" s="1"/>
  <c r="NY19" i="1"/>
  <c r="NK19" i="1"/>
  <c r="VF19" i="1"/>
  <c r="MV19" i="1"/>
  <c r="VD19" i="1"/>
  <c r="YB19" i="1" s="1"/>
  <c r="AAT19" i="1"/>
  <c r="ADV19" i="1"/>
  <c r="ADF19" i="1"/>
  <c r="ADE19" i="1" s="1"/>
  <c r="BX19" i="1"/>
  <c r="CN19" i="1"/>
  <c r="CO19" i="1" s="1"/>
  <c r="VK19" i="1"/>
  <c r="AD19" i="1"/>
  <c r="AE19" i="1"/>
  <c r="YE18" i="1"/>
  <c r="VO18" i="1"/>
  <c r="AAY18" i="1"/>
  <c r="ADH18" i="1" s="1"/>
  <c r="ZC18" i="1"/>
  <c r="ABD18" i="1"/>
  <c r="ZF18" i="1"/>
  <c r="ZK18" i="1" s="1"/>
  <c r="ABA18" i="1"/>
  <c r="ADM18" i="1" s="1"/>
  <c r="ZD18" i="1"/>
  <c r="ABI18" i="1"/>
  <c r="ABL18" i="1" s="1"/>
  <c r="MR18" i="1"/>
  <c r="MS18" i="1" s="1"/>
  <c r="ZH18" i="1"/>
  <c r="ZJ18" i="1" s="1"/>
  <c r="CD18" i="1"/>
  <c r="BL18" i="1"/>
  <c r="AAV18" i="1"/>
  <c r="UJ17" i="1"/>
  <c r="UD17" i="1"/>
  <c r="UG17" i="1"/>
  <c r="UE17" i="1"/>
  <c r="VN17" i="1"/>
  <c r="WC17" i="1" s="1"/>
  <c r="YR17" i="1" s="1"/>
  <c r="PC17" i="1"/>
  <c r="JQ17" i="1"/>
  <c r="ADV16" i="1"/>
  <c r="ADF16" i="1"/>
  <c r="ADE16" i="1" s="1"/>
  <c r="AAT16" i="1"/>
  <c r="GH15" i="1"/>
  <c r="ABN15" i="1"/>
  <c r="ABP14" i="1"/>
  <c r="IM14" i="1"/>
  <c r="IN14" i="1"/>
  <c r="IO14" i="1" s="1"/>
  <c r="ABJ13" i="1"/>
  <c r="ZI13" i="1"/>
  <c r="YL13" i="1"/>
  <c r="XW13" i="1"/>
  <c r="XV13" i="1" s="1"/>
  <c r="EH13" i="1"/>
  <c r="EV13" i="1"/>
  <c r="EW13" i="1" s="1"/>
  <c r="VK13" i="1"/>
  <c r="AD13" i="1"/>
  <c r="AE13" i="1"/>
  <c r="YE12" i="1"/>
  <c r="VO12" i="1"/>
  <c r="UG12" i="1"/>
  <c r="UJ12" i="1"/>
  <c r="UD12" i="1"/>
  <c r="UE12" i="1" s="1"/>
  <c r="OS12" i="1"/>
  <c r="OM12" i="1"/>
  <c r="AAY12" i="1"/>
  <c r="ADH12" i="1" s="1"/>
  <c r="ADE12" i="1" s="1"/>
  <c r="ZC12" i="1"/>
  <c r="ABG12" i="1"/>
  <c r="ADK12" i="1" s="1"/>
  <c r="ZG12" i="1"/>
  <c r="ZF12" i="1"/>
  <c r="ABD12" i="1"/>
  <c r="ABB12" i="1"/>
  <c r="ADN12" i="1" s="1"/>
  <c r="ZE12" i="1"/>
  <c r="ABA12" i="1"/>
  <c r="ADM12" i="1" s="1"/>
  <c r="ZD12" i="1"/>
  <c r="ABI12" i="1"/>
  <c r="ZH12" i="1"/>
  <c r="MR12" i="1"/>
  <c r="MS12" i="1" s="1"/>
  <c r="GT12" i="1"/>
  <c r="CD12" i="1"/>
  <c r="JL12" i="1"/>
  <c r="JG12" i="1"/>
  <c r="JH12" i="1" s="1"/>
  <c r="FO12" i="1"/>
  <c r="FQ12" i="1" s="1"/>
  <c r="FK12" i="1"/>
  <c r="FL12" i="1" s="1"/>
  <c r="ABW12" i="1" s="1"/>
  <c r="FD12" i="1"/>
  <c r="FE12" i="1" s="1"/>
  <c r="EK12" i="1"/>
  <c r="EM12" i="1" s="1"/>
  <c r="EG12" i="1"/>
  <c r="KB12" i="1"/>
  <c r="KC12" i="1" s="1"/>
  <c r="JU12" i="1"/>
  <c r="JV12" i="1" s="1"/>
  <c r="IX12" i="1"/>
  <c r="IQ12" i="1"/>
  <c r="IR12" i="1" s="1"/>
  <c r="GF12" i="1"/>
  <c r="GB12" i="1"/>
  <c r="GC12" i="1" s="1"/>
  <c r="FU12" i="1"/>
  <c r="FV12" i="1" s="1"/>
  <c r="FS12" i="1"/>
  <c r="FT12" i="1" s="1"/>
  <c r="EZ12" i="1"/>
  <c r="FB12" i="1" s="1"/>
  <c r="EO12" i="1"/>
  <c r="EP12" i="1" s="1"/>
  <c r="YM11" i="1"/>
  <c r="YD11" i="1"/>
  <c r="XY11" i="1" s="1"/>
  <c r="QW11" i="1"/>
  <c r="QX11" i="1" s="1"/>
  <c r="TZ11" i="1" s="1"/>
  <c r="QQ11" i="1"/>
  <c r="QS11" i="1" s="1"/>
  <c r="VN11" i="1"/>
  <c r="PC11" i="1"/>
  <c r="IA11" i="1"/>
  <c r="IB11" i="1" s="1"/>
  <c r="ABN11" i="1"/>
  <c r="GH11" i="1"/>
  <c r="RZ11" i="1" s="1"/>
  <c r="SA11" i="1" s="1"/>
  <c r="CJ11" i="1"/>
  <c r="QK10" i="1"/>
  <c r="QL10" i="1" s="1"/>
  <c r="QN10" i="1"/>
  <c r="GT10" i="1"/>
  <c r="YE9" i="1"/>
  <c r="UG9" i="1"/>
  <c r="UJ9" i="1"/>
  <c r="UD9" i="1"/>
  <c r="UE9" i="1" s="1"/>
  <c r="VC9" i="1"/>
  <c r="XX9" i="1" s="1"/>
  <c r="XV9" i="1" s="1"/>
  <c r="NY9" i="1"/>
  <c r="VG9" i="1"/>
  <c r="XZ9" i="1" s="1"/>
  <c r="NR9" i="1"/>
  <c r="VF9" i="1"/>
  <c r="NK9" i="1"/>
  <c r="VE9" i="1"/>
  <c r="YC9" i="1" s="1"/>
  <c r="NC9" i="1"/>
  <c r="VD9" i="1"/>
  <c r="YB9" i="1" s="1"/>
  <c r="MV9" i="1"/>
  <c r="GT9" i="1"/>
  <c r="SQ9" i="1"/>
  <c r="SS9" i="1" s="1"/>
  <c r="LA9" i="1"/>
  <c r="CD9" i="1"/>
  <c r="JL9" i="1"/>
  <c r="JG9" i="1"/>
  <c r="JH9" i="1" s="1"/>
  <c r="FO9" i="1"/>
  <c r="FQ9" i="1" s="1"/>
  <c r="FK9" i="1"/>
  <c r="FL9" i="1" s="1"/>
  <c r="ABW9" i="1" s="1"/>
  <c r="FD9" i="1"/>
  <c r="FE9" i="1" s="1"/>
  <c r="FG9" i="1" s="1"/>
  <c r="EK9" i="1"/>
  <c r="EM9" i="1" s="1"/>
  <c r="EG9" i="1"/>
  <c r="KB9" i="1"/>
  <c r="KC9" i="1" s="1"/>
  <c r="JU9" i="1"/>
  <c r="JV9" i="1" s="1"/>
  <c r="JX9" i="1" s="1"/>
  <c r="IX9" i="1"/>
  <c r="IQ9" i="1"/>
  <c r="IR9" i="1" s="1"/>
  <c r="GF9" i="1"/>
  <c r="GB9" i="1"/>
  <c r="GC9" i="1" s="1"/>
  <c r="FU9" i="1"/>
  <c r="FV9" i="1" s="1"/>
  <c r="FX9" i="1" s="1"/>
  <c r="FS9" i="1"/>
  <c r="FT9" i="1" s="1"/>
  <c r="EZ9" i="1"/>
  <c r="FB9" i="1" s="1"/>
  <c r="EO9" i="1"/>
  <c r="EP9" i="1" s="1"/>
  <c r="ER9" i="1" s="1"/>
  <c r="ABJ29" i="1"/>
  <c r="ZI29" i="1"/>
  <c r="ZK29" i="1" s="1"/>
  <c r="ID29" i="1"/>
  <c r="IE29" i="1" s="1"/>
  <c r="IC29" i="1"/>
  <c r="BL24" i="1"/>
  <c r="AAV24" i="1"/>
  <c r="AAT22" i="1"/>
  <c r="ADV22" i="1"/>
  <c r="ADF22" i="1"/>
  <c r="ADE22" i="1" s="1"/>
  <c r="JL22" i="1"/>
  <c r="JG22" i="1"/>
  <c r="JH22" i="1" s="1"/>
  <c r="FO22" i="1"/>
  <c r="FQ22" i="1" s="1"/>
  <c r="FK22" i="1"/>
  <c r="FL22" i="1" s="1"/>
  <c r="ABW22" i="1" s="1"/>
  <c r="FD22" i="1"/>
  <c r="FE22" i="1" s="1"/>
  <c r="FG22" i="1" s="1"/>
  <c r="EK22" i="1"/>
  <c r="EM22" i="1" s="1"/>
  <c r="EG22" i="1"/>
  <c r="JU22" i="1"/>
  <c r="JV22" i="1" s="1"/>
  <c r="JX22" i="1" s="1"/>
  <c r="IX22" i="1"/>
  <c r="GF22" i="1"/>
  <c r="FU22" i="1"/>
  <c r="FV22" i="1" s="1"/>
  <c r="FX22" i="1" s="1"/>
  <c r="EZ22" i="1"/>
  <c r="FB22" i="1" s="1"/>
  <c r="EO22" i="1"/>
  <c r="EP22" i="1" s="1"/>
  <c r="ER22" i="1" s="1"/>
  <c r="KB22" i="1"/>
  <c r="KC22" i="1" s="1"/>
  <c r="IQ22" i="1"/>
  <c r="IR22" i="1" s="1"/>
  <c r="GB22" i="1"/>
  <c r="GC22" i="1" s="1"/>
  <c r="FS22" i="1"/>
  <c r="FT22" i="1" s="1"/>
  <c r="CN22" i="1"/>
  <c r="CO22" i="1" s="1"/>
  <c r="BX22" i="1"/>
  <c r="CH22" i="1"/>
  <c r="VD22" i="1"/>
  <c r="YB22" i="1" s="1"/>
  <c r="MV22" i="1"/>
  <c r="VE22" i="1"/>
  <c r="YC22" i="1" s="1"/>
  <c r="NC22" i="1"/>
  <c r="VF22" i="1"/>
  <c r="NK22" i="1"/>
  <c r="VG22" i="1"/>
  <c r="XZ22" i="1" s="1"/>
  <c r="NR22" i="1"/>
  <c r="VC22" i="1"/>
  <c r="XX22" i="1" s="1"/>
  <c r="NY22" i="1"/>
  <c r="UI22" i="1"/>
  <c r="UJ22" i="1" s="1"/>
  <c r="UF22" i="1"/>
  <c r="UG22" i="1" s="1"/>
  <c r="TN22" i="1"/>
  <c r="IL19" i="1"/>
  <c r="ZM19" i="1"/>
  <c r="IK19" i="1"/>
  <c r="VN19" i="1"/>
  <c r="WC19" i="1" s="1"/>
  <c r="YR19" i="1" s="1"/>
  <c r="PC19" i="1"/>
  <c r="UG19" i="1"/>
  <c r="UD19" i="1"/>
  <c r="UE19" i="1" s="1"/>
  <c r="UJ19" i="1"/>
  <c r="YE19" i="1"/>
  <c r="ADV15" i="1"/>
  <c r="ADF15" i="1"/>
  <c r="ADE15" i="1" s="1"/>
  <c r="AAT15" i="1"/>
  <c r="CY15" i="1"/>
  <c r="EH15" i="1"/>
  <c r="EV15" i="1"/>
  <c r="EW15" i="1" s="1"/>
  <c r="FG15" i="1"/>
  <c r="AAT13" i="1"/>
  <c r="ADV13" i="1"/>
  <c r="ADF13" i="1"/>
  <c r="ADE13" i="1" s="1"/>
  <c r="ADP21" i="1"/>
  <c r="ABX21" i="1"/>
  <c r="ABV21" i="1"/>
  <c r="AAV19" i="1"/>
  <c r="BL19" i="1"/>
  <c r="ADV18" i="1"/>
  <c r="ADF18" i="1"/>
  <c r="ADE18" i="1" s="1"/>
  <c r="AAT18" i="1"/>
  <c r="UF18" i="1"/>
  <c r="UG18" i="1" s="1"/>
  <c r="TN18" i="1"/>
  <c r="UI18" i="1"/>
  <c r="UJ18" i="1" s="1"/>
  <c r="NR18" i="1"/>
  <c r="VG18" i="1"/>
  <c r="XZ18" i="1" s="1"/>
  <c r="NC18" i="1"/>
  <c r="VE18" i="1"/>
  <c r="YC18" i="1" s="1"/>
  <c r="LA18" i="1"/>
  <c r="SQ18" i="1"/>
  <c r="SS18" i="1" s="1"/>
  <c r="CK18" i="1"/>
  <c r="YE17" i="1"/>
  <c r="VO17" i="1"/>
  <c r="XW17" i="1"/>
  <c r="YL17" i="1"/>
  <c r="YE16" i="1"/>
  <c r="VO16" i="1"/>
  <c r="XW16" i="1"/>
  <c r="YL16" i="1"/>
  <c r="GX13" i="1"/>
  <c r="IK12" i="1"/>
  <c r="ZM12" i="1"/>
  <c r="IL12" i="1"/>
  <c r="AD11" i="1"/>
  <c r="VK11" i="1"/>
  <c r="AE11" i="1"/>
  <c r="ABP10" i="1"/>
  <c r="IM10" i="1"/>
  <c r="IN10" i="1"/>
  <c r="IO10" i="1" s="1"/>
  <c r="YM9" i="1"/>
  <c r="YD9" i="1"/>
  <c r="PC9" i="1"/>
  <c r="VN9" i="1"/>
  <c r="WC9" i="1" s="1"/>
  <c r="YR9" i="1" s="1"/>
  <c r="IK9" i="1"/>
  <c r="ZM9" i="1"/>
  <c r="IL9" i="1"/>
  <c r="AAV30" i="1"/>
  <c r="BL30" i="1"/>
  <c r="ADP29" i="1"/>
  <c r="ABX29" i="1"/>
  <c r="ABV29" i="1"/>
  <c r="ABJ28" i="1"/>
  <c r="ZI28" i="1"/>
  <c r="ZI24" i="1"/>
  <c r="ABJ24" i="1"/>
  <c r="ABJ23" i="1"/>
  <c r="ZI23" i="1"/>
  <c r="ABN23" i="1"/>
  <c r="GH23" i="1"/>
  <c r="AAV22" i="1"/>
  <c r="BL22" i="1"/>
  <c r="QK21" i="1"/>
  <c r="QL21" i="1" s="1"/>
  <c r="QN21" i="1"/>
  <c r="ABI21" i="1"/>
  <c r="MR21" i="1"/>
  <c r="MS21" i="1" s="1"/>
  <c r="ZH21" i="1"/>
  <c r="ABJ19" i="1"/>
  <c r="ABM19" i="1" s="1"/>
  <c r="ZI19" i="1"/>
  <c r="ZJ19" i="1" s="1"/>
  <c r="GX18" i="1"/>
  <c r="KB18" i="1"/>
  <c r="KC18" i="1" s="1"/>
  <c r="JU18" i="1"/>
  <c r="JV18" i="1" s="1"/>
  <c r="JX18" i="1" s="1"/>
  <c r="IX18" i="1"/>
  <c r="IQ18" i="1"/>
  <c r="IR18" i="1" s="1"/>
  <c r="GF18" i="1"/>
  <c r="GB18" i="1"/>
  <c r="GC18" i="1" s="1"/>
  <c r="JL18" i="1"/>
  <c r="FK18" i="1"/>
  <c r="FL18" i="1" s="1"/>
  <c r="ABW18" i="1" s="1"/>
  <c r="EG18" i="1"/>
  <c r="JG18" i="1"/>
  <c r="JH18" i="1" s="1"/>
  <c r="FO18" i="1"/>
  <c r="FQ18" i="1" s="1"/>
  <c r="EZ18" i="1"/>
  <c r="FB18" i="1" s="1"/>
  <c r="EK18" i="1"/>
  <c r="EM18" i="1" s="1"/>
  <c r="IA18" i="1"/>
  <c r="IB18" i="1" s="1"/>
  <c r="KY18" i="1"/>
  <c r="KZ18" i="1" s="1"/>
  <c r="GT17" i="1"/>
  <c r="SD17" i="1"/>
  <c r="CD17" i="1"/>
  <c r="VD17" i="1"/>
  <c r="YB17" i="1" s="1"/>
  <c r="MV17" i="1"/>
  <c r="NC17" i="1"/>
  <c r="VE17" i="1"/>
  <c r="YC17" i="1" s="1"/>
  <c r="VF17" i="1"/>
  <c r="NK17" i="1"/>
  <c r="VG17" i="1"/>
  <c r="XZ17" i="1" s="1"/>
  <c r="NR17" i="1"/>
  <c r="VC17" i="1"/>
  <c r="XX17" i="1" s="1"/>
  <c r="NY17" i="1"/>
  <c r="GT16" i="1"/>
  <c r="SD16" i="1"/>
  <c r="CD16" i="1"/>
  <c r="VD16" i="1"/>
  <c r="YB16" i="1" s="1"/>
  <c r="MV16" i="1"/>
  <c r="NC16" i="1"/>
  <c r="VE16" i="1"/>
  <c r="YC16" i="1" s="1"/>
  <c r="VF16" i="1"/>
  <c r="NK16" i="1"/>
  <c r="VG16" i="1"/>
  <c r="XZ16" i="1" s="1"/>
  <c r="NR16" i="1"/>
  <c r="VC16" i="1"/>
  <c r="XX16" i="1" s="1"/>
  <c r="NY16" i="1"/>
  <c r="RZ15" i="1"/>
  <c r="SA15" i="1" s="1"/>
  <c r="ADV14" i="1"/>
  <c r="ADF14" i="1"/>
  <c r="ADE14" i="1" s="1"/>
  <c r="AAT14" i="1"/>
  <c r="ABN14" i="1"/>
  <c r="GH14" i="1"/>
  <c r="ABJ12" i="1"/>
  <c r="ZI12" i="1"/>
  <c r="GT11" i="1"/>
  <c r="YL11" i="1"/>
  <c r="XW11" i="1"/>
  <c r="XV11" i="1" s="1"/>
  <c r="YN15" i="1"/>
  <c r="XS15" i="1"/>
  <c r="KH24" i="1"/>
  <c r="BJ31" i="1"/>
  <c r="VJ30" i="1"/>
  <c r="KH28" i="1"/>
  <c r="ZK27" i="1"/>
  <c r="XY27" i="1"/>
  <c r="QN26" i="1"/>
  <c r="QW26" i="1" s="1"/>
  <c r="QX26" i="1" s="1"/>
  <c r="TZ26" i="1" s="1"/>
  <c r="KH26" i="1"/>
  <c r="JR20" i="1"/>
  <c r="JS20" i="1" s="1"/>
  <c r="FY20" i="1"/>
  <c r="FZ20" i="1" s="1"/>
  <c r="JD14" i="1"/>
  <c r="JE14" i="1" s="1"/>
  <c r="FY14" i="1"/>
  <c r="FZ14" i="1" s="1"/>
  <c r="JD13" i="1"/>
  <c r="JE13" i="1" s="1"/>
  <c r="FY13" i="1"/>
  <c r="FZ13" i="1" s="1"/>
  <c r="ADE33" i="1"/>
  <c r="VJ29" i="1"/>
  <c r="JR22" i="1"/>
  <c r="JS22" i="1" s="1"/>
  <c r="GM22" i="1"/>
  <c r="GN22" i="1" s="1"/>
  <c r="ADE20" i="1"/>
  <c r="DP19" i="1"/>
  <c r="DQ19" i="1" s="1"/>
  <c r="CZ19" i="1"/>
  <c r="DA19" i="1" s="1"/>
  <c r="ED18" i="1"/>
  <c r="EE18" i="1" s="1"/>
  <c r="SQ14" i="1"/>
  <c r="SS14" i="1" s="1"/>
  <c r="FY11" i="1"/>
  <c r="FZ11" i="1" s="1"/>
  <c r="ES11" i="1"/>
  <c r="ET11" i="1" s="1"/>
  <c r="CZ11" i="1"/>
  <c r="DA11" i="1" s="1"/>
  <c r="VO10" i="1"/>
  <c r="JD9" i="1"/>
  <c r="JE9" i="1" s="1"/>
  <c r="XV28" i="1"/>
  <c r="ZN27" i="1"/>
  <c r="ADE25" i="1"/>
  <c r="SD23" i="1"/>
  <c r="ZN23" i="1"/>
  <c r="DP22" i="1"/>
  <c r="DQ22" i="1" s="1"/>
  <c r="FH22" i="1"/>
  <c r="FI22" i="1" s="1"/>
  <c r="SD20" i="1"/>
  <c r="ZN20" i="1"/>
  <c r="FY19" i="1"/>
  <c r="FZ19" i="1" s="1"/>
  <c r="JR19" i="1"/>
  <c r="JS19" i="1" s="1"/>
  <c r="KH19" i="1"/>
  <c r="SD13" i="1"/>
  <c r="BJ18" i="1"/>
  <c r="KH17" i="1"/>
  <c r="KH16" i="1"/>
  <c r="SQ13" i="1"/>
  <c r="SS13" i="1" s="1"/>
  <c r="VJ12" i="1"/>
  <c r="QN12" i="1"/>
  <c r="QQ12" i="1" s="1"/>
  <c r="QS12" i="1" s="1"/>
  <c r="KH12" i="1"/>
  <c r="SQ11" i="1"/>
  <c r="SS11" i="1" s="1"/>
  <c r="SD11" i="1"/>
  <c r="KH9" i="1"/>
  <c r="JR9" i="1"/>
  <c r="JS9" i="1" s="1"/>
  <c r="XV25" i="1"/>
  <c r="BJ25" i="1"/>
  <c r="ZN25" i="1"/>
  <c r="ADE24" i="1"/>
  <c r="ABN21" i="1"/>
  <c r="XY20" i="1"/>
  <c r="SQ20" i="1"/>
  <c r="SS20" i="1" s="1"/>
  <c r="XV19" i="1"/>
  <c r="GM18" i="1"/>
  <c r="GN18" i="1" s="1"/>
  <c r="BJ17" i="1"/>
  <c r="BJ16" i="1"/>
  <c r="ZN15" i="1"/>
  <c r="SD14" i="1"/>
  <c r="ZN14" i="1"/>
  <c r="KO13" i="1"/>
  <c r="ZK20" i="1"/>
  <c r="ABL20" i="1"/>
  <c r="XV18" i="1"/>
  <c r="SD10" i="1"/>
  <c r="ZN11" i="1"/>
  <c r="ADE9" i="1"/>
  <c r="RN14" i="1" l="1"/>
  <c r="VO19" i="1"/>
  <c r="ABL12" i="1"/>
  <c r="VO20" i="1"/>
  <c r="ZK24" i="1"/>
  <c r="ZK25" i="1"/>
  <c r="ABL30" i="1"/>
  <c r="ZK11" i="1"/>
  <c r="ZK17" i="1"/>
  <c r="VO38" i="1"/>
  <c r="SC50" i="1"/>
  <c r="SE60" i="1"/>
  <c r="SH60" i="1"/>
  <c r="KO13" i="2"/>
  <c r="VO13" i="2"/>
  <c r="IM15" i="1"/>
  <c r="ABP15" i="1"/>
  <c r="IN15" i="1"/>
  <c r="IO15" i="1" s="1"/>
  <c r="RN13" i="1"/>
  <c r="VO39" i="1"/>
  <c r="ABP13" i="1"/>
  <c r="IM13" i="1"/>
  <c r="IN13" i="1"/>
  <c r="IO13" i="1" s="1"/>
  <c r="QW55" i="1"/>
  <c r="QX55" i="1" s="1"/>
  <c r="TZ55" i="1" s="1"/>
  <c r="QQ55" i="1"/>
  <c r="QS55" i="1" s="1"/>
  <c r="SO55" i="1"/>
  <c r="ADL20" i="1"/>
  <c r="ADZ20" i="1"/>
  <c r="ADZ10" i="2"/>
  <c r="ADL10" i="2"/>
  <c r="ABM10" i="2"/>
  <c r="ADW11" i="2"/>
  <c r="ADO11" i="2"/>
  <c r="ABR11" i="2"/>
  <c r="ADZ12" i="2"/>
  <c r="ADL12" i="2"/>
  <c r="ABM12" i="2"/>
  <c r="ID11" i="2"/>
  <c r="IE11" i="2" s="1"/>
  <c r="IC11" i="2"/>
  <c r="EV12" i="2"/>
  <c r="EW12" i="2" s="1"/>
  <c r="EH12" i="2"/>
  <c r="YP13" i="2"/>
  <c r="YA13" i="2"/>
  <c r="ID13" i="2"/>
  <c r="IE13" i="2" s="1"/>
  <c r="IC13" i="2"/>
  <c r="RZ14" i="2"/>
  <c r="SA14" i="2" s="1"/>
  <c r="ADP14" i="2"/>
  <c r="ABX14" i="2"/>
  <c r="ABV14" i="2"/>
  <c r="ABN10" i="2"/>
  <c r="GH10" i="2"/>
  <c r="RZ10" i="2" s="1"/>
  <c r="SA10" i="2" s="1"/>
  <c r="JX10" i="2"/>
  <c r="YP10" i="2"/>
  <c r="YA10" i="2"/>
  <c r="ADP10" i="2"/>
  <c r="ABX10" i="2"/>
  <c r="ABV10" i="2"/>
  <c r="UZ11" i="2"/>
  <c r="SI11" i="2"/>
  <c r="SB11" i="2"/>
  <c r="EH11" i="2"/>
  <c r="EV11" i="2"/>
  <c r="ABN11" i="2"/>
  <c r="GH11" i="2"/>
  <c r="IN11" i="2"/>
  <c r="IO11" i="2" s="1"/>
  <c r="ABP11" i="2"/>
  <c r="IM11" i="2"/>
  <c r="UZ13" i="2"/>
  <c r="SI13" i="2"/>
  <c r="SB13" i="2"/>
  <c r="ADW14" i="2"/>
  <c r="ADO14" i="2"/>
  <c r="ABR14" i="2"/>
  <c r="ABP14" i="2"/>
  <c r="IN14" i="2"/>
  <c r="IO14" i="2" s="1"/>
  <c r="IM14" i="2"/>
  <c r="ABM14" i="2"/>
  <c r="ADZ14" i="2"/>
  <c r="ADL14" i="2"/>
  <c r="ADP12" i="2"/>
  <c r="ABV12" i="2"/>
  <c r="ADP13" i="2"/>
  <c r="ABX13" i="2"/>
  <c r="ABV13" i="2"/>
  <c r="ABL10" i="2"/>
  <c r="ADE12" i="2"/>
  <c r="XY10" i="2"/>
  <c r="VO10" i="2"/>
  <c r="XV11" i="2"/>
  <c r="VO11" i="2"/>
  <c r="ADE11" i="2"/>
  <c r="KO12" i="2"/>
  <c r="SB12" i="2"/>
  <c r="ZK13" i="2"/>
  <c r="XV13" i="2"/>
  <c r="VO14" i="2"/>
  <c r="AAW10" i="2"/>
  <c r="ADW10" i="2"/>
  <c r="ADO10" i="2"/>
  <c r="ADJ10" i="2" s="1"/>
  <c r="ABR10" i="2"/>
  <c r="ID10" i="2"/>
  <c r="IE10" i="2" s="1"/>
  <c r="IC10" i="2"/>
  <c r="ADW13" i="2"/>
  <c r="ADO13" i="2"/>
  <c r="ABR13" i="2"/>
  <c r="AAW13" i="2"/>
  <c r="ADZ11" i="2"/>
  <c r="ADL11" i="2"/>
  <c r="ADJ11" i="2" s="1"/>
  <c r="ABM11" i="2"/>
  <c r="ID12" i="2"/>
  <c r="IE12" i="2" s="1"/>
  <c r="IC12" i="2"/>
  <c r="ABN12" i="2"/>
  <c r="ABW12" i="2"/>
  <c r="ABX12" i="2" s="1"/>
  <c r="JX12" i="2"/>
  <c r="SB14" i="2"/>
  <c r="GI14" i="2" s="1"/>
  <c r="GJ14" i="2" s="1"/>
  <c r="UZ14" i="2"/>
  <c r="SI14" i="2"/>
  <c r="ID14" i="2"/>
  <c r="IE14" i="2" s="1"/>
  <c r="IC14" i="2"/>
  <c r="YP14" i="2"/>
  <c r="YA14" i="2"/>
  <c r="EV10" i="2"/>
  <c r="EW10" i="2" s="1"/>
  <c r="EH10" i="2"/>
  <c r="ABP10" i="2"/>
  <c r="IN10" i="2"/>
  <c r="IO10" i="2" s="1"/>
  <c r="IM10" i="2"/>
  <c r="RZ11" i="2"/>
  <c r="SA11" i="2" s="1"/>
  <c r="FR11" i="2" s="1"/>
  <c r="YP11" i="2"/>
  <c r="YA11" i="2"/>
  <c r="XY11" i="2" s="1"/>
  <c r="ADW12" i="2"/>
  <c r="ADO12" i="2"/>
  <c r="ABR12" i="2"/>
  <c r="IM12" i="2"/>
  <c r="ABP12" i="2"/>
  <c r="IN12" i="2"/>
  <c r="IO12" i="2" s="1"/>
  <c r="YP12" i="2"/>
  <c r="YA12" i="2"/>
  <c r="XY12" i="2" s="1"/>
  <c r="JX11" i="2"/>
  <c r="RZ13" i="2"/>
  <c r="SA13" i="2" s="1"/>
  <c r="CE13" i="2" s="1"/>
  <c r="ADZ13" i="2"/>
  <c r="ADL13" i="2"/>
  <c r="ABM13" i="2"/>
  <c r="ABP13" i="2"/>
  <c r="IN13" i="2"/>
  <c r="IO13" i="2" s="1"/>
  <c r="IM13" i="2"/>
  <c r="ADP11" i="2"/>
  <c r="ABX11" i="2"/>
  <c r="ABV11" i="2"/>
  <c r="KO10" i="2"/>
  <c r="ZJ10" i="2"/>
  <c r="ZK10" i="2"/>
  <c r="ZK12" i="2"/>
  <c r="ADJ12" i="2"/>
  <c r="XY13" i="2"/>
  <c r="XY14" i="2"/>
  <c r="SO14" i="2"/>
  <c r="RZ12" i="2"/>
  <c r="SA12" i="2" s="1"/>
  <c r="SD10" i="2"/>
  <c r="EN11" i="2"/>
  <c r="ADJ13" i="2"/>
  <c r="KO14" i="2"/>
  <c r="ABL14" i="2"/>
  <c r="ZJ14" i="2"/>
  <c r="ZK14" i="2"/>
  <c r="ADJ14" i="2"/>
  <c r="CL22" i="1"/>
  <c r="LJ48" i="1"/>
  <c r="CL48" i="1"/>
  <c r="SB14" i="1"/>
  <c r="UZ14" i="1"/>
  <c r="SI14" i="1"/>
  <c r="UZ11" i="1"/>
  <c r="SI11" i="1"/>
  <c r="SB11" i="1"/>
  <c r="CU11" i="1" s="1"/>
  <c r="SB20" i="1"/>
  <c r="UZ20" i="1"/>
  <c r="SI20" i="1"/>
  <c r="UZ23" i="1"/>
  <c r="SI23" i="1"/>
  <c r="SB23" i="1"/>
  <c r="ZQ18" i="1"/>
  <c r="ZL18" i="1"/>
  <c r="ID18" i="1"/>
  <c r="IE18" i="1" s="1"/>
  <c r="IC18" i="1"/>
  <c r="EH18" i="1"/>
  <c r="EV18" i="1"/>
  <c r="EW18" i="1" s="1"/>
  <c r="ABN18" i="1"/>
  <c r="GH18" i="1"/>
  <c r="ADW30" i="1"/>
  <c r="ADO30" i="1"/>
  <c r="ABR30" i="1"/>
  <c r="AAW30" i="1"/>
  <c r="ADX10" i="1"/>
  <c r="ADB10" i="1"/>
  <c r="ABQ10" i="1"/>
  <c r="CL18" i="1"/>
  <c r="UX18" i="1"/>
  <c r="LC18" i="1"/>
  <c r="LH18" i="1"/>
  <c r="LI18" i="1" s="1"/>
  <c r="LB18" i="1"/>
  <c r="ADW19" i="1"/>
  <c r="ADO19" i="1"/>
  <c r="ABR19" i="1"/>
  <c r="AAW19" i="1"/>
  <c r="ABP19" i="1"/>
  <c r="IN19" i="1"/>
  <c r="IO19" i="1" s="1"/>
  <c r="IM19" i="1"/>
  <c r="CJ22" i="1"/>
  <c r="GH22" i="1"/>
  <c r="ABN22" i="1"/>
  <c r="AAW24" i="1"/>
  <c r="ADW24" i="1"/>
  <c r="ADO24" i="1"/>
  <c r="ABR24" i="1"/>
  <c r="VL29" i="1"/>
  <c r="IF29" i="1"/>
  <c r="IG29" i="1"/>
  <c r="GH9" i="1"/>
  <c r="ABN9" i="1"/>
  <c r="RZ9" i="1"/>
  <c r="SA9" i="1" s="1"/>
  <c r="LH9" i="1"/>
  <c r="LI9" i="1" s="1"/>
  <c r="LB9" i="1"/>
  <c r="UX9" i="1"/>
  <c r="LC9" i="1"/>
  <c r="YP9" i="1"/>
  <c r="YA9" i="1"/>
  <c r="QW10" i="1"/>
  <c r="QX10" i="1" s="1"/>
  <c r="TZ10" i="1" s="1"/>
  <c r="QQ10" i="1"/>
  <c r="QS10" i="1" s="1"/>
  <c r="SO10" i="1"/>
  <c r="WC11" i="1"/>
  <c r="YR11" i="1" s="1"/>
  <c r="VO11" i="1"/>
  <c r="FX12" i="1"/>
  <c r="ABN12" i="1"/>
  <c r="GH12" i="1"/>
  <c r="RZ12" i="1"/>
  <c r="SA12" i="1" s="1"/>
  <c r="AAW18" i="1"/>
  <c r="ADW18" i="1"/>
  <c r="ABR18" i="1"/>
  <c r="ADO18" i="1"/>
  <c r="RZ18" i="1"/>
  <c r="SA18" i="1" s="1"/>
  <c r="YP19" i="1"/>
  <c r="YA19" i="1"/>
  <c r="ABM13" i="1"/>
  <c r="ADL13" i="1"/>
  <c r="ADZ13" i="1"/>
  <c r="ADP13" i="1"/>
  <c r="ABV13" i="1"/>
  <c r="ABX13" i="1"/>
  <c r="ABM14" i="1"/>
  <c r="ADZ14" i="1"/>
  <c r="ADL14" i="1"/>
  <c r="ABX14" i="1"/>
  <c r="ADP14" i="1"/>
  <c r="ABV14" i="1"/>
  <c r="CJ15" i="1"/>
  <c r="ADZ15" i="1"/>
  <c r="ADL15" i="1"/>
  <c r="ABM15" i="1"/>
  <c r="ADP15" i="1"/>
  <c r="ABV15" i="1"/>
  <c r="ABX15" i="1"/>
  <c r="RZ21" i="1"/>
  <c r="SA21" i="1" s="1"/>
  <c r="ID23" i="1"/>
  <c r="IE23" i="1" s="1"/>
  <c r="IC23" i="1"/>
  <c r="UZ24" i="1"/>
  <c r="SI24" i="1"/>
  <c r="SB24" i="1"/>
  <c r="UZ25" i="1"/>
  <c r="SI25" i="1"/>
  <c r="SB25" i="1"/>
  <c r="IM26" i="1"/>
  <c r="ABP26" i="1"/>
  <c r="IN26" i="1"/>
  <c r="IO26" i="1" s="1"/>
  <c r="ABP28" i="1"/>
  <c r="IM28" i="1"/>
  <c r="IN28" i="1"/>
  <c r="IO28" i="1" s="1"/>
  <c r="ID30" i="1"/>
  <c r="IE30" i="1" s="1"/>
  <c r="IC30" i="1"/>
  <c r="ABM23" i="1"/>
  <c r="ADZ23" i="1"/>
  <c r="ADL23" i="1"/>
  <c r="JX25" i="1"/>
  <c r="ID25" i="1"/>
  <c r="IE25" i="1" s="1"/>
  <c r="IC25" i="1"/>
  <c r="ZL22" i="1"/>
  <c r="ZQ22" i="1"/>
  <c r="YN14" i="1"/>
  <c r="XS14" i="1"/>
  <c r="QW14" i="1"/>
  <c r="QX14" i="1" s="1"/>
  <c r="TZ14" i="1" s="1"/>
  <c r="QQ14" i="1"/>
  <c r="QS14" i="1" s="1"/>
  <c r="ADP16" i="1"/>
  <c r="ABX16" i="1"/>
  <c r="ABV16" i="1"/>
  <c r="ADZ16" i="1"/>
  <c r="ADL16" i="1"/>
  <c r="ABM16" i="1"/>
  <c r="ABN16" i="1"/>
  <c r="GH16" i="1"/>
  <c r="JX16" i="1"/>
  <c r="EV16" i="1"/>
  <c r="EW16" i="1" s="1"/>
  <c r="EH16" i="1"/>
  <c r="AAW16" i="1"/>
  <c r="ADO16" i="1"/>
  <c r="ADW16" i="1"/>
  <c r="ABR16" i="1"/>
  <c r="IN18" i="1"/>
  <c r="IO18" i="1" s="1"/>
  <c r="ABP18" i="1"/>
  <c r="IM18" i="1"/>
  <c r="ADX27" i="1"/>
  <c r="ADB27" i="1"/>
  <c r="ABQ27" i="1"/>
  <c r="ID16" i="1"/>
  <c r="IE16" i="1" s="1"/>
  <c r="IC16" i="1"/>
  <c r="IM16" i="1"/>
  <c r="ABP16" i="1"/>
  <c r="IN16" i="1"/>
  <c r="IO16" i="1" s="1"/>
  <c r="ID17" i="1"/>
  <c r="IE17" i="1" s="1"/>
  <c r="IC17" i="1"/>
  <c r="IM17" i="1"/>
  <c r="ABP17" i="1"/>
  <c r="IN17" i="1"/>
  <c r="IO17" i="1" s="1"/>
  <c r="YP18" i="1"/>
  <c r="YA18" i="1"/>
  <c r="QW15" i="1"/>
  <c r="QX15" i="1" s="1"/>
  <c r="TZ15" i="1" s="1"/>
  <c r="QQ15" i="1"/>
  <c r="QS15" i="1" s="1"/>
  <c r="ADP19" i="1"/>
  <c r="ABV19" i="1"/>
  <c r="ABX19" i="1"/>
  <c r="ID19" i="1"/>
  <c r="IE19" i="1" s="1"/>
  <c r="IC19" i="1"/>
  <c r="EM19" i="1"/>
  <c r="SD19" i="1"/>
  <c r="ADP22" i="1"/>
  <c r="ABV22" i="1"/>
  <c r="ABX22" i="1"/>
  <c r="RZ22" i="1"/>
  <c r="SA22" i="1" s="1"/>
  <c r="QW22" i="1"/>
  <c r="QX22" i="1" s="1"/>
  <c r="TZ22" i="1" s="1"/>
  <c r="QQ22" i="1"/>
  <c r="QS22" i="1" s="1"/>
  <c r="AAW27" i="1"/>
  <c r="ADW27" i="1"/>
  <c r="ADO27" i="1"/>
  <c r="ABR27" i="1"/>
  <c r="QW29" i="1"/>
  <c r="QX29" i="1" s="1"/>
  <c r="TZ29" i="1" s="1"/>
  <c r="QQ29" i="1"/>
  <c r="QS29" i="1" s="1"/>
  <c r="SO29" i="1"/>
  <c r="LC20" i="1"/>
  <c r="UX20" i="1"/>
  <c r="LH20" i="1"/>
  <c r="LI20" i="1" s="1"/>
  <c r="LB20" i="1"/>
  <c r="FH20" i="1"/>
  <c r="FI20" i="1" s="1"/>
  <c r="ES20" i="1"/>
  <c r="ET20" i="1" s="1"/>
  <c r="ED20" i="1"/>
  <c r="EE20" i="1" s="1"/>
  <c r="DP20" i="1"/>
  <c r="DQ20" i="1" s="1"/>
  <c r="CK20" i="1"/>
  <c r="CZ20" i="1"/>
  <c r="DA20" i="1" s="1"/>
  <c r="JD20" i="1"/>
  <c r="JE20" i="1" s="1"/>
  <c r="ADW9" i="1"/>
  <c r="ADO9" i="1"/>
  <c r="ABR9" i="1"/>
  <c r="AAW9" i="1"/>
  <c r="CJ9" i="1"/>
  <c r="ZN9" i="1"/>
  <c r="UX11" i="1"/>
  <c r="LC11" i="1"/>
  <c r="LH11" i="1"/>
  <c r="LI11" i="1" s="1"/>
  <c r="LB11" i="1"/>
  <c r="ED11" i="1"/>
  <c r="EE11" i="1" s="1"/>
  <c r="JD11" i="1"/>
  <c r="JE11" i="1" s="1"/>
  <c r="DP11" i="1"/>
  <c r="DQ11" i="1" s="1"/>
  <c r="FH11" i="1"/>
  <c r="FI11" i="1" s="1"/>
  <c r="CK11" i="1"/>
  <c r="ABP22" i="1"/>
  <c r="IM22" i="1"/>
  <c r="IN22" i="1"/>
  <c r="IO22" i="1" s="1"/>
  <c r="ADW23" i="1"/>
  <c r="ADO23" i="1"/>
  <c r="ABR23" i="1"/>
  <c r="AAW23" i="1"/>
  <c r="YP14" i="1"/>
  <c r="YA14" i="1"/>
  <c r="YP25" i="1"/>
  <c r="YA25" i="1"/>
  <c r="ADP23" i="1"/>
  <c r="ABX23" i="1"/>
  <c r="ABV23" i="1"/>
  <c r="AAW26" i="1"/>
  <c r="ADW26" i="1"/>
  <c r="ADO26" i="1"/>
  <c r="ABR26" i="1"/>
  <c r="YP26" i="1"/>
  <c r="YA26" i="1"/>
  <c r="JX28" i="1"/>
  <c r="EV28" i="1"/>
  <c r="EW28" i="1" s="1"/>
  <c r="EH28" i="1"/>
  <c r="ABM28" i="1"/>
  <c r="ADZ28" i="1"/>
  <c r="ADL28" i="1"/>
  <c r="ADP28" i="1"/>
  <c r="ABX28" i="1"/>
  <c r="ABV28" i="1"/>
  <c r="UZ29" i="1"/>
  <c r="SI29" i="1"/>
  <c r="SB29" i="1"/>
  <c r="UZ31" i="1"/>
  <c r="SI31" i="1"/>
  <c r="SB31" i="1"/>
  <c r="IM31" i="1"/>
  <c r="ABP31" i="1"/>
  <c r="IN31" i="1"/>
  <c r="IO31" i="1" s="1"/>
  <c r="IM32" i="1"/>
  <c r="ABP32" i="1"/>
  <c r="IN32" i="1"/>
  <c r="IO32" i="1" s="1"/>
  <c r="ID36" i="1"/>
  <c r="IE36" i="1" s="1"/>
  <c r="IC36" i="1"/>
  <c r="YP37" i="1"/>
  <c r="YA37" i="1"/>
  <c r="ADP34" i="1"/>
  <c r="ABX34" i="1"/>
  <c r="ABV34" i="1"/>
  <c r="AAW35" i="1"/>
  <c r="ADW35" i="1"/>
  <c r="ADO35" i="1"/>
  <c r="ABR35" i="1"/>
  <c r="YP35" i="1"/>
  <c r="YA35" i="1"/>
  <c r="ER36" i="1"/>
  <c r="JX36" i="1"/>
  <c r="EV36" i="1"/>
  <c r="EW36" i="1" s="1"/>
  <c r="EH36" i="1"/>
  <c r="FG36" i="1"/>
  <c r="ADZ36" i="1"/>
  <c r="ADL36" i="1"/>
  <c r="ABM36" i="1"/>
  <c r="ID37" i="1"/>
  <c r="IE37" i="1" s="1"/>
  <c r="IC37" i="1"/>
  <c r="UZ34" i="1"/>
  <c r="SI34" i="1"/>
  <c r="SB34" i="1"/>
  <c r="FR34" i="1" s="1"/>
  <c r="ADP11" i="1"/>
  <c r="ABX11" i="1"/>
  <c r="ABV11" i="1"/>
  <c r="YP12" i="1"/>
  <c r="YA12" i="1"/>
  <c r="ZN12" i="1"/>
  <c r="LC19" i="1"/>
  <c r="LH19" i="1"/>
  <c r="LI19" i="1" s="1"/>
  <c r="LB19" i="1"/>
  <c r="UX19" i="1"/>
  <c r="ES19" i="1"/>
  <c r="ET19" i="1" s="1"/>
  <c r="ED19" i="1"/>
  <c r="EE19" i="1" s="1"/>
  <c r="FH19" i="1"/>
  <c r="FI19" i="1" s="1"/>
  <c r="ID22" i="1"/>
  <c r="IE22" i="1" s="1"/>
  <c r="IC22" i="1"/>
  <c r="LH13" i="1"/>
  <c r="LI13" i="1" s="1"/>
  <c r="LB13" i="1"/>
  <c r="LC13" i="1"/>
  <c r="UX13" i="1"/>
  <c r="JR13" i="1"/>
  <c r="JS13" i="1" s="1"/>
  <c r="FH13" i="1"/>
  <c r="FI13" i="1" s="1"/>
  <c r="ES13" i="1"/>
  <c r="ET13" i="1" s="1"/>
  <c r="ED13" i="1"/>
  <c r="EE13" i="1" s="1"/>
  <c r="DP13" i="1"/>
  <c r="DQ13" i="1" s="1"/>
  <c r="JY13" i="1"/>
  <c r="JZ13" i="1" s="1"/>
  <c r="CZ13" i="1"/>
  <c r="DA13" i="1" s="1"/>
  <c r="KY13" i="1"/>
  <c r="KZ13" i="1" s="1"/>
  <c r="CK13" i="1"/>
  <c r="PF13" i="1"/>
  <c r="SB15" i="1"/>
  <c r="UZ15" i="1"/>
  <c r="SI15" i="1"/>
  <c r="ID20" i="1"/>
  <c r="IE20" i="1" s="1"/>
  <c r="IC20" i="1"/>
  <c r="EW27" i="1"/>
  <c r="KO27" i="1"/>
  <c r="UZ27" i="1"/>
  <c r="SI27" i="1"/>
  <c r="SB27" i="1"/>
  <c r="SO27" i="1"/>
  <c r="ID28" i="1"/>
  <c r="IE28" i="1" s="1"/>
  <c r="IC28" i="1"/>
  <c r="ADX29" i="1"/>
  <c r="ADB29" i="1"/>
  <c r="ABQ29" i="1"/>
  <c r="ADP30" i="1"/>
  <c r="ABX30" i="1"/>
  <c r="ABV30" i="1"/>
  <c r="YP30" i="1"/>
  <c r="YA30" i="1"/>
  <c r="ADW31" i="1"/>
  <c r="ADO31" i="1"/>
  <c r="AAW31" i="1"/>
  <c r="ABR31" i="1"/>
  <c r="UZ26" i="1"/>
  <c r="SI26" i="1"/>
  <c r="SB26" i="1"/>
  <c r="ADZ26" i="1"/>
  <c r="ADL26" i="1"/>
  <c r="ABM26" i="1"/>
  <c r="ADW28" i="1"/>
  <c r="ADO28" i="1"/>
  <c r="ABR28" i="1"/>
  <c r="AAW28" i="1"/>
  <c r="SB30" i="1"/>
  <c r="DZ30" i="1" s="1"/>
  <c r="UZ30" i="1"/>
  <c r="SI30" i="1"/>
  <c r="AAW43" i="1"/>
  <c r="ADW43" i="1"/>
  <c r="ADO43" i="1"/>
  <c r="ABR43" i="1"/>
  <c r="AAW44" i="1"/>
  <c r="ADW44" i="1"/>
  <c r="ADO44" i="1"/>
  <c r="ABR44" i="1"/>
  <c r="CY31" i="1"/>
  <c r="CJ32" i="1"/>
  <c r="ID32" i="1"/>
  <c r="IE32" i="1" s="1"/>
  <c r="IC32" i="1"/>
  <c r="ABM33" i="1"/>
  <c r="ADZ33" i="1"/>
  <c r="ADL33" i="1"/>
  <c r="ID34" i="1"/>
  <c r="IE34" i="1" s="1"/>
  <c r="IC34" i="1"/>
  <c r="ID35" i="1"/>
  <c r="IE35" i="1" s="1"/>
  <c r="IC35" i="1"/>
  <c r="CJ37" i="1"/>
  <c r="ADZ38" i="1"/>
  <c r="ADL38" i="1"/>
  <c r="ABM38" i="1"/>
  <c r="ADW39" i="1"/>
  <c r="ADO39" i="1"/>
  <c r="ABR39" i="1"/>
  <c r="AAW39" i="1"/>
  <c r="AAW40" i="1"/>
  <c r="ADW40" i="1"/>
  <c r="ADO40" i="1"/>
  <c r="ABR40" i="1"/>
  <c r="CJ31" i="1"/>
  <c r="YP31" i="1"/>
  <c r="YA31" i="1"/>
  <c r="RZ32" i="1"/>
  <c r="SA32" i="1" s="1"/>
  <c r="YP32" i="1"/>
  <c r="YA32" i="1"/>
  <c r="EV33" i="1"/>
  <c r="EW33" i="1" s="1"/>
  <c r="EH33" i="1"/>
  <c r="FG33" i="1"/>
  <c r="FX33" i="1"/>
  <c r="ABN33" i="1"/>
  <c r="GH33" i="1"/>
  <c r="CJ34" i="1"/>
  <c r="SB46" i="1"/>
  <c r="UZ46" i="1"/>
  <c r="SI46" i="1"/>
  <c r="UZ51" i="1"/>
  <c r="SI51" i="1"/>
  <c r="SB51" i="1"/>
  <c r="SB59" i="1"/>
  <c r="UZ59" i="1"/>
  <c r="SI59" i="1"/>
  <c r="UZ57" i="1"/>
  <c r="SI57" i="1"/>
  <c r="SB57" i="1"/>
  <c r="SB60" i="1"/>
  <c r="UZ60" i="1"/>
  <c r="SI60" i="1"/>
  <c r="ADP36" i="1"/>
  <c r="ABX36" i="1"/>
  <c r="ABV36" i="1"/>
  <c r="UZ38" i="1"/>
  <c r="SI38" i="1"/>
  <c r="SB38" i="1"/>
  <c r="ABR47" i="1"/>
  <c r="ADW47" i="1"/>
  <c r="ADO47" i="1"/>
  <c r="AAW47" i="1"/>
  <c r="SB39" i="1"/>
  <c r="UZ39" i="1"/>
  <c r="SI39" i="1"/>
  <c r="RZ40" i="1"/>
  <c r="SA40" i="1" s="1"/>
  <c r="YP40" i="1"/>
  <c r="YA40" i="1"/>
  <c r="YP41" i="1"/>
  <c r="YA41" i="1"/>
  <c r="ABM42" i="1"/>
  <c r="ADZ42" i="1"/>
  <c r="ADL42" i="1"/>
  <c r="YP45" i="1"/>
  <c r="YA45" i="1"/>
  <c r="YP46" i="1"/>
  <c r="YA46" i="1"/>
  <c r="ADW48" i="1"/>
  <c r="ADO48" i="1"/>
  <c r="ABR48" i="1"/>
  <c r="AAW48" i="1"/>
  <c r="ADW49" i="1"/>
  <c r="ADO49" i="1"/>
  <c r="ABR49" i="1"/>
  <c r="AAW49" i="1"/>
  <c r="IN40" i="1"/>
  <c r="IO40" i="1" s="1"/>
  <c r="ABP40" i="1"/>
  <c r="IM40" i="1"/>
  <c r="ER42" i="1"/>
  <c r="JX42" i="1"/>
  <c r="ABP42" i="1"/>
  <c r="IN42" i="1"/>
  <c r="IO42" i="1" s="1"/>
  <c r="IM42" i="1"/>
  <c r="CJ43" i="1"/>
  <c r="IN43" i="1"/>
  <c r="IO43" i="1" s="1"/>
  <c r="ABP43" i="1"/>
  <c r="IM43" i="1"/>
  <c r="EV44" i="1"/>
  <c r="EW44" i="1" s="1"/>
  <c r="EH44" i="1"/>
  <c r="FG44" i="1"/>
  <c r="FX44" i="1"/>
  <c r="ABN44" i="1"/>
  <c r="GH44" i="1"/>
  <c r="CY44" i="1"/>
  <c r="ER45" i="1"/>
  <c r="JX45" i="1"/>
  <c r="IN45" i="1"/>
  <c r="IO45" i="1" s="1"/>
  <c r="ABP45" i="1"/>
  <c r="IM45" i="1"/>
  <c r="EW47" i="1"/>
  <c r="KO47" i="1"/>
  <c r="ID48" i="1"/>
  <c r="IE48" i="1" s="1"/>
  <c r="IC48" i="1"/>
  <c r="ABM49" i="1"/>
  <c r="ADZ49" i="1"/>
  <c r="ADL49" i="1"/>
  <c r="EV50" i="1"/>
  <c r="EW50" i="1" s="1"/>
  <c r="EH50" i="1"/>
  <c r="YP50" i="1"/>
  <c r="YA50" i="1"/>
  <c r="ADW51" i="1"/>
  <c r="ADO51" i="1"/>
  <c r="AAW51" i="1"/>
  <c r="ABR51" i="1"/>
  <c r="AAW53" i="1"/>
  <c r="ADW53" i="1"/>
  <c r="ADO53" i="1"/>
  <c r="ABR53" i="1"/>
  <c r="ADW54" i="1"/>
  <c r="ADO54" i="1"/>
  <c r="ABR54" i="1"/>
  <c r="AAW54" i="1"/>
  <c r="YP48" i="1"/>
  <c r="YA48" i="1"/>
  <c r="CY49" i="1"/>
  <c r="ADP49" i="1"/>
  <c r="ABX49" i="1"/>
  <c r="ABV49" i="1"/>
  <c r="UX50" i="1"/>
  <c r="LC50" i="1"/>
  <c r="LH50" i="1"/>
  <c r="LI50" i="1" s="1"/>
  <c r="LB50" i="1"/>
  <c r="ABP50" i="1"/>
  <c r="IN50" i="1"/>
  <c r="IO50" i="1" s="1"/>
  <c r="IM50" i="1"/>
  <c r="YP51" i="1"/>
  <c r="YA51" i="1"/>
  <c r="ADZ53" i="1"/>
  <c r="ADL53" i="1"/>
  <c r="ABM53" i="1"/>
  <c r="ABP54" i="1"/>
  <c r="IM54" i="1"/>
  <c r="IN54" i="1"/>
  <c r="IO54" i="1" s="1"/>
  <c r="YN55" i="1"/>
  <c r="XS55" i="1"/>
  <c r="IN51" i="1"/>
  <c r="IO51" i="1" s="1"/>
  <c r="ABP51" i="1"/>
  <c r="IM51" i="1"/>
  <c r="SR53" i="1"/>
  <c r="GK53" i="1"/>
  <c r="DN53" i="1"/>
  <c r="FX54" i="1"/>
  <c r="SP54" i="1"/>
  <c r="CI54" i="1" s="1"/>
  <c r="CJ54" i="1"/>
  <c r="YP54" i="1"/>
  <c r="YA54" i="1"/>
  <c r="AAW57" i="1"/>
  <c r="ADW57" i="1"/>
  <c r="ADO57" i="1"/>
  <c r="ABR57" i="1"/>
  <c r="ADZ56" i="1"/>
  <c r="ADL56" i="1"/>
  <c r="ABM56" i="1"/>
  <c r="ID56" i="1"/>
  <c r="IE56" i="1" s="1"/>
  <c r="IC56" i="1"/>
  <c r="ADZ59" i="1"/>
  <c r="ADL59" i="1"/>
  <c r="ABM59" i="1"/>
  <c r="ABP59" i="1"/>
  <c r="IM59" i="1"/>
  <c r="IN59" i="1"/>
  <c r="IO59" i="1" s="1"/>
  <c r="ID57" i="1"/>
  <c r="IE57" i="1" s="1"/>
  <c r="IC57" i="1"/>
  <c r="LC58" i="1"/>
  <c r="UX58" i="1"/>
  <c r="LH58" i="1"/>
  <c r="LI58" i="1" s="1"/>
  <c r="LB58" i="1"/>
  <c r="YP58" i="1"/>
  <c r="YA58" i="1"/>
  <c r="SP59" i="1"/>
  <c r="CJ59" i="1"/>
  <c r="ADP58" i="1"/>
  <c r="ABX58" i="1"/>
  <c r="ABV58" i="1"/>
  <c r="EV59" i="1"/>
  <c r="EW59" i="1" s="1"/>
  <c r="EH59" i="1"/>
  <c r="LH59" i="1"/>
  <c r="LI59" i="1" s="1"/>
  <c r="LB59" i="1"/>
  <c r="UX59" i="1"/>
  <c r="LC59" i="1"/>
  <c r="ABP60" i="1"/>
  <c r="IN60" i="1"/>
  <c r="IO60" i="1" s="1"/>
  <c r="IM60" i="1"/>
  <c r="EV60" i="1"/>
  <c r="EW60" i="1" s="1"/>
  <c r="EH60" i="1"/>
  <c r="ER60" i="1"/>
  <c r="FX60" i="1"/>
  <c r="ABM60" i="1"/>
  <c r="ADZ60" i="1"/>
  <c r="ADL60" i="1"/>
  <c r="TA47" i="1"/>
  <c r="SR47" i="1"/>
  <c r="FF47" i="1"/>
  <c r="EQ47" i="1"/>
  <c r="DN47" i="1"/>
  <c r="CX47" i="1"/>
  <c r="CI47" i="1"/>
  <c r="JW47" i="1"/>
  <c r="GK47" i="1"/>
  <c r="JP47" i="1"/>
  <c r="JB47" i="1"/>
  <c r="KW47" i="1"/>
  <c r="FW47" i="1"/>
  <c r="TC47" i="1"/>
  <c r="ZL48" i="1"/>
  <c r="ZQ48" i="1"/>
  <c r="SR52" i="1"/>
  <c r="FW52" i="1"/>
  <c r="FF52" i="1"/>
  <c r="EQ52" i="1"/>
  <c r="DN52" i="1"/>
  <c r="CI52" i="1"/>
  <c r="CX52" i="1"/>
  <c r="SB58" i="1"/>
  <c r="UZ58" i="1"/>
  <c r="SI58" i="1"/>
  <c r="PM14" i="1"/>
  <c r="PT14" i="1" s="1"/>
  <c r="PG14" i="1"/>
  <c r="ZL14" i="1"/>
  <c r="ZQ14" i="1"/>
  <c r="ADP33" i="1"/>
  <c r="ABX33" i="1"/>
  <c r="ABV33" i="1"/>
  <c r="ABN35" i="1"/>
  <c r="GH35" i="1"/>
  <c r="RZ35" i="1"/>
  <c r="SA35" i="1" s="1"/>
  <c r="EV37" i="1"/>
  <c r="EW37" i="1" s="1"/>
  <c r="EH37" i="1"/>
  <c r="FG37" i="1"/>
  <c r="FX37" i="1"/>
  <c r="ABN37" i="1"/>
  <c r="GH37" i="1"/>
  <c r="YP39" i="1"/>
  <c r="YA39" i="1"/>
  <c r="ADZ40" i="1"/>
  <c r="ADL40" i="1"/>
  <c r="ABM40" i="1"/>
  <c r="CJ41" i="1"/>
  <c r="YP42" i="1"/>
  <c r="YA42" i="1"/>
  <c r="RZ43" i="1"/>
  <c r="SA43" i="1" s="1"/>
  <c r="YP43" i="1"/>
  <c r="YA43" i="1"/>
  <c r="EH46" i="1"/>
  <c r="EV46" i="1"/>
  <c r="EW46" i="1" s="1"/>
  <c r="ADZ46" i="1"/>
  <c r="ADL46" i="1"/>
  <c r="ABM46" i="1"/>
  <c r="ID39" i="1"/>
  <c r="IE39" i="1" s="1"/>
  <c r="IC39" i="1"/>
  <c r="ID40" i="1"/>
  <c r="IE40" i="1" s="1"/>
  <c r="IC40" i="1"/>
  <c r="EV41" i="1"/>
  <c r="EH41" i="1"/>
  <c r="FG41" i="1"/>
  <c r="FX41" i="1"/>
  <c r="ABN41" i="1"/>
  <c r="GH41" i="1"/>
  <c r="RZ44" i="1"/>
  <c r="SA44" i="1" s="1"/>
  <c r="EC46" i="1"/>
  <c r="SP46" i="1"/>
  <c r="ID46" i="1"/>
  <c r="IE46" i="1" s="1"/>
  <c r="IC46" i="1"/>
  <c r="TC46" i="1" s="1"/>
  <c r="EC48" i="1"/>
  <c r="ST48" i="1" s="1"/>
  <c r="SV48" i="1" s="1"/>
  <c r="SP48" i="1"/>
  <c r="EV49" i="1"/>
  <c r="EW49" i="1" s="1"/>
  <c r="EH49" i="1"/>
  <c r="FG49" i="1"/>
  <c r="FX49" i="1"/>
  <c r="YP49" i="1"/>
  <c r="YA49" i="1"/>
  <c r="ADZ50" i="1"/>
  <c r="ADL50" i="1"/>
  <c r="ABM50" i="1"/>
  <c r="ABM48" i="1"/>
  <c r="ADZ48" i="1"/>
  <c r="ADL48" i="1"/>
  <c r="ID49" i="1"/>
  <c r="IE49" i="1" s="1"/>
  <c r="IC49" i="1"/>
  <c r="SP50" i="1"/>
  <c r="CJ50" i="1"/>
  <c r="ADZ51" i="1"/>
  <c r="ADL51" i="1"/>
  <c r="ABM51" i="1"/>
  <c r="ID52" i="1"/>
  <c r="IE52" i="1" s="1"/>
  <c r="IC52" i="1"/>
  <c r="TC52" i="1" s="1"/>
  <c r="YP53" i="1"/>
  <c r="YA53" i="1"/>
  <c r="ID54" i="1"/>
  <c r="IE54" i="1" s="1"/>
  <c r="IC54" i="1"/>
  <c r="TC54" i="1" s="1"/>
  <c r="ER51" i="1"/>
  <c r="JX51" i="1"/>
  <c r="ID51" i="1"/>
  <c r="IE51" i="1" s="1"/>
  <c r="IC51" i="1"/>
  <c r="ABX52" i="1"/>
  <c r="ABV52" i="1"/>
  <c r="ADP52" i="1"/>
  <c r="IN53" i="1"/>
  <c r="IO53" i="1" s="1"/>
  <c r="ABP53" i="1"/>
  <c r="IM53" i="1"/>
  <c r="ABM54" i="1"/>
  <c r="ADZ54" i="1"/>
  <c r="ADL54" i="1"/>
  <c r="SP56" i="1"/>
  <c r="CJ56" i="1"/>
  <c r="CI56" i="1"/>
  <c r="ADW56" i="1"/>
  <c r="ADO56" i="1"/>
  <c r="AAW56" i="1"/>
  <c r="ABR56" i="1"/>
  <c r="IN56" i="1"/>
  <c r="IO56" i="1" s="1"/>
  <c r="ABP56" i="1"/>
  <c r="IM56" i="1"/>
  <c r="YP59" i="1"/>
  <c r="YA59" i="1"/>
  <c r="IM57" i="1"/>
  <c r="ABP57" i="1"/>
  <c r="IN57" i="1"/>
  <c r="IO57" i="1" s="1"/>
  <c r="ADZ58" i="1"/>
  <c r="ADL58" i="1"/>
  <c r="ABM58" i="1"/>
  <c r="ADW59" i="1"/>
  <c r="ABR59" i="1"/>
  <c r="ADO59" i="1"/>
  <c r="AAW59" i="1"/>
  <c r="SP57" i="1"/>
  <c r="CI57" i="1" s="1"/>
  <c r="CJ57" i="1"/>
  <c r="EC58" i="1"/>
  <c r="ST58" i="1" s="1"/>
  <c r="SV58" i="1" s="1"/>
  <c r="SN58" i="1"/>
  <c r="SP58" i="1"/>
  <c r="ADW60" i="1"/>
  <c r="ADO60" i="1"/>
  <c r="ABR60" i="1"/>
  <c r="AAW60" i="1"/>
  <c r="ZN41" i="1"/>
  <c r="ADP43" i="1"/>
  <c r="ABX43" i="1"/>
  <c r="ABV43" i="1"/>
  <c r="ADP48" i="1"/>
  <c r="ABX48" i="1"/>
  <c r="ABV48" i="1"/>
  <c r="ABX51" i="1"/>
  <c r="ABV51" i="1"/>
  <c r="ADP51" i="1"/>
  <c r="ADP53" i="1"/>
  <c r="ABX53" i="1"/>
  <c r="ABV53" i="1"/>
  <c r="ADP42" i="1"/>
  <c r="ABX42" i="1"/>
  <c r="ABV42" i="1"/>
  <c r="ADP50" i="1"/>
  <c r="ABX50" i="1"/>
  <c r="ABV50" i="1"/>
  <c r="XY9" i="1"/>
  <c r="ZK12" i="1"/>
  <c r="ZK30" i="1"/>
  <c r="ADJ23" i="1"/>
  <c r="FY18" i="1"/>
  <c r="FZ18" i="1" s="1"/>
  <c r="ES9" i="1"/>
  <c r="ET9" i="1" s="1"/>
  <c r="JY9" i="1"/>
  <c r="JZ9" i="1" s="1"/>
  <c r="DP18" i="1"/>
  <c r="DQ18" i="1" s="1"/>
  <c r="ABL19" i="1"/>
  <c r="QW12" i="1"/>
  <c r="QX12" i="1" s="1"/>
  <c r="TZ12" i="1" s="1"/>
  <c r="RZ13" i="1"/>
  <c r="SA13" i="1" s="1"/>
  <c r="ZK22" i="1"/>
  <c r="XV22" i="1"/>
  <c r="ABL22" i="1"/>
  <c r="ZJ22" i="1"/>
  <c r="RZ23" i="1"/>
  <c r="SA23" i="1" s="1"/>
  <c r="ZK19" i="1"/>
  <c r="KU34" i="1"/>
  <c r="KV34" i="1" s="1"/>
  <c r="EN34" i="1"/>
  <c r="ABL9" i="1"/>
  <c r="ZJ9" i="1"/>
  <c r="ZK9" i="1"/>
  <c r="KO11" i="1"/>
  <c r="XY14" i="1"/>
  <c r="SO20" i="1"/>
  <c r="SO23" i="1"/>
  <c r="ABL23" i="1"/>
  <c r="ZJ26" i="1"/>
  <c r="ABL26" i="1"/>
  <c r="XY26" i="1"/>
  <c r="SD28" i="1"/>
  <c r="ZJ29" i="1"/>
  <c r="ZK31" i="1"/>
  <c r="KO32" i="1"/>
  <c r="ZK32" i="1"/>
  <c r="KO33" i="1"/>
  <c r="ZJ35" i="1"/>
  <c r="ABL35" i="1"/>
  <c r="XY35" i="1"/>
  <c r="SD36" i="1"/>
  <c r="JR11" i="1"/>
  <c r="JS11" i="1" s="1"/>
  <c r="SO11" i="1"/>
  <c r="FC30" i="1"/>
  <c r="EN30" i="1"/>
  <c r="XY12" i="1"/>
  <c r="KO14" i="1"/>
  <c r="ADE17" i="1"/>
  <c r="ZR18" i="1"/>
  <c r="GI30" i="1"/>
  <c r="GJ30" i="1" s="1"/>
  <c r="KO15" i="1"/>
  <c r="SO15" i="1"/>
  <c r="ZJ24" i="1"/>
  <c r="VO25" i="1"/>
  <c r="QQ26" i="1"/>
  <c r="QS26" i="1" s="1"/>
  <c r="XV26" i="1"/>
  <c r="ABM27" i="1"/>
  <c r="QQ30" i="1"/>
  <c r="QS30" i="1" s="1"/>
  <c r="ZJ33" i="1"/>
  <c r="VO28" i="1"/>
  <c r="GI34" i="1"/>
  <c r="GJ34" i="1" s="1"/>
  <c r="VO34" i="1"/>
  <c r="XV35" i="1"/>
  <c r="ADE36" i="1"/>
  <c r="ZK37" i="1"/>
  <c r="ZJ31" i="1"/>
  <c r="ABL31" i="1"/>
  <c r="XY31" i="1"/>
  <c r="ZJ32" i="1"/>
  <c r="ABL32" i="1"/>
  <c r="XY32" i="1"/>
  <c r="SD33" i="1"/>
  <c r="VO33" i="1"/>
  <c r="ZK34" i="1"/>
  <c r="KO36" i="1"/>
  <c r="ZK39" i="1"/>
  <c r="ZK43" i="1"/>
  <c r="ABL44" i="1"/>
  <c r="ZJ45" i="1"/>
  <c r="SO46" i="1"/>
  <c r="XY46" i="1"/>
  <c r="XY48" i="1"/>
  <c r="ZK52" i="1"/>
  <c r="CX53" i="1"/>
  <c r="JP53" i="1"/>
  <c r="XY54" i="1"/>
  <c r="ZJ60" i="1"/>
  <c r="FY50" i="1"/>
  <c r="FZ50" i="1" s="1"/>
  <c r="ZN54" i="1"/>
  <c r="FH50" i="1"/>
  <c r="FI50" i="1" s="1"/>
  <c r="JD59" i="1"/>
  <c r="JE59" i="1" s="1"/>
  <c r="ED59" i="1"/>
  <c r="EE59" i="1" s="1"/>
  <c r="JY59" i="1"/>
  <c r="JZ59" i="1" s="1"/>
  <c r="CZ59" i="1"/>
  <c r="DA59" i="1" s="1"/>
  <c r="ES58" i="1"/>
  <c r="ET58" i="1" s="1"/>
  <c r="JD58" i="1"/>
  <c r="JE58" i="1" s="1"/>
  <c r="JR58" i="1"/>
  <c r="JS58" i="1" s="1"/>
  <c r="ABN60" i="1"/>
  <c r="ZK35" i="1"/>
  <c r="VO37" i="1"/>
  <c r="KO38" i="1"/>
  <c r="ADE38" i="1"/>
  <c r="XV38" i="1"/>
  <c r="ABL39" i="1"/>
  <c r="ZK41" i="1"/>
  <c r="ABL42" i="1"/>
  <c r="ZK44" i="1"/>
  <c r="ZK45" i="1"/>
  <c r="ABN46" i="1"/>
  <c r="XV46" i="1"/>
  <c r="ZJ47" i="1"/>
  <c r="SD41" i="1"/>
  <c r="VO41" i="1"/>
  <c r="VO42" i="1"/>
  <c r="VO43" i="1"/>
  <c r="VO44" i="1"/>
  <c r="VO45" i="1"/>
  <c r="SH46" i="1"/>
  <c r="ADE46" i="1"/>
  <c r="ADJ47" i="1"/>
  <c r="ABN49" i="1"/>
  <c r="RZ49" i="1"/>
  <c r="SA49" i="1" s="1"/>
  <c r="ABL49" i="1"/>
  <c r="SF50" i="1"/>
  <c r="SJ50" i="1" s="1"/>
  <c r="ABL50" i="1"/>
  <c r="XV51" i="1"/>
  <c r="EB47" i="1"/>
  <c r="VO48" i="1"/>
  <c r="KO49" i="1"/>
  <c r="KO50" i="1"/>
  <c r="VO51" i="1"/>
  <c r="JP52" i="1"/>
  <c r="VO52" i="1"/>
  <c r="ADE52" i="1"/>
  <c r="KW53" i="1"/>
  <c r="SF51" i="1"/>
  <c r="SJ51" i="1" s="1"/>
  <c r="KO52" i="1"/>
  <c r="EQ53" i="1"/>
  <c r="FW53" i="1"/>
  <c r="SC54" i="1"/>
  <c r="SG54" i="1" s="1"/>
  <c r="SO54" i="1"/>
  <c r="KO56" i="1"/>
  <c r="SO59" i="1"/>
  <c r="XY59" i="1"/>
  <c r="ZK57" i="1"/>
  <c r="VO58" i="1"/>
  <c r="SC59" i="1"/>
  <c r="SG59" i="1" s="1"/>
  <c r="KO60" i="1"/>
  <c r="RZ60" i="1"/>
  <c r="SA60" i="1" s="1"/>
  <c r="QQ46" i="1"/>
  <c r="QS46" i="1" s="1"/>
  <c r="QQ54" i="1"/>
  <c r="QS54" i="1" s="1"/>
  <c r="ZK55" i="1"/>
  <c r="SB10" i="1"/>
  <c r="UZ10" i="1"/>
  <c r="SI10" i="1"/>
  <c r="SB13" i="1"/>
  <c r="UZ13" i="1"/>
  <c r="SI13" i="1"/>
  <c r="DK15" i="1"/>
  <c r="KU15" i="1"/>
  <c r="KV15" i="1" s="1"/>
  <c r="YA16" i="1"/>
  <c r="YP16" i="1"/>
  <c r="UZ16" i="1"/>
  <c r="SI16" i="1"/>
  <c r="SB16" i="1"/>
  <c r="YA17" i="1"/>
  <c r="YP17" i="1"/>
  <c r="UZ17" i="1"/>
  <c r="SI17" i="1"/>
  <c r="SB17" i="1"/>
  <c r="ZJ21" i="1"/>
  <c r="ZK21" i="1"/>
  <c r="ABL21" i="1"/>
  <c r="ABM21" i="1"/>
  <c r="QW21" i="1"/>
  <c r="QX21" i="1" s="1"/>
  <c r="TZ21" i="1" s="1"/>
  <c r="QQ21" i="1"/>
  <c r="QS21" i="1" s="1"/>
  <c r="SO21" i="1"/>
  <c r="ADW22" i="1"/>
  <c r="ADO22" i="1"/>
  <c r="ABR22" i="1"/>
  <c r="AAW22" i="1"/>
  <c r="ABP9" i="1"/>
  <c r="IM9" i="1"/>
  <c r="IN9" i="1"/>
  <c r="IO9" i="1" s="1"/>
  <c r="ABP12" i="1"/>
  <c r="IM12" i="1"/>
  <c r="IN12" i="1"/>
  <c r="IO12" i="1" s="1"/>
  <c r="YP22" i="1"/>
  <c r="YA22" i="1"/>
  <c r="EH22" i="1"/>
  <c r="EV22" i="1"/>
  <c r="EV9" i="1"/>
  <c r="EW9" i="1" s="1"/>
  <c r="EH9" i="1"/>
  <c r="ID11" i="1"/>
  <c r="IE11" i="1" s="1"/>
  <c r="IC11" i="1"/>
  <c r="ER12" i="1"/>
  <c r="JX12" i="1"/>
  <c r="EV12" i="1"/>
  <c r="EW12" i="1" s="1"/>
  <c r="EH12" i="1"/>
  <c r="FG12" i="1"/>
  <c r="ABM12" i="1"/>
  <c r="ADZ12" i="1"/>
  <c r="ADL12" i="1"/>
  <c r="ADB14" i="1"/>
  <c r="ADX14" i="1"/>
  <c r="ABQ14" i="1"/>
  <c r="ADZ18" i="1"/>
  <c r="ADL18" i="1"/>
  <c r="ADJ18" i="1" s="1"/>
  <c r="ABM18" i="1"/>
  <c r="ADW20" i="1"/>
  <c r="ADO20" i="1"/>
  <c r="ADJ20" i="1" s="1"/>
  <c r="ABR20" i="1"/>
  <c r="AAW20" i="1"/>
  <c r="ADW37" i="1"/>
  <c r="ADO37" i="1"/>
  <c r="ABR37" i="1"/>
  <c r="AAW37" i="1"/>
  <c r="ABP20" i="1"/>
  <c r="IN20" i="1"/>
  <c r="IO20" i="1" s="1"/>
  <c r="IM20" i="1"/>
  <c r="UZ21" i="1"/>
  <c r="SI21" i="1"/>
  <c r="SB21" i="1"/>
  <c r="RZ24" i="1"/>
  <c r="SA24" i="1" s="1"/>
  <c r="ADZ24" i="1"/>
  <c r="ADL24" i="1"/>
  <c r="ADJ24" i="1" s="1"/>
  <c r="ABM24" i="1"/>
  <c r="ADZ25" i="1"/>
  <c r="ADL25" i="1"/>
  <c r="ABM25" i="1"/>
  <c r="ABM30" i="1"/>
  <c r="ADZ30" i="1"/>
  <c r="ADL30" i="1"/>
  <c r="ADJ30" i="1" s="1"/>
  <c r="ID24" i="1"/>
  <c r="IE24" i="1" s="1"/>
  <c r="IC24" i="1"/>
  <c r="EH25" i="1"/>
  <c r="EV25" i="1"/>
  <c r="EW25" i="1" s="1"/>
  <c r="ABN25" i="1"/>
  <c r="GH25" i="1"/>
  <c r="AAW11" i="1"/>
  <c r="ADW11" i="1"/>
  <c r="ADO11" i="1"/>
  <c r="ADJ11" i="1" s="1"/>
  <c r="ABR11" i="1"/>
  <c r="IF10" i="1"/>
  <c r="VL10" i="1"/>
  <c r="IG10" i="1"/>
  <c r="ADZ17" i="1"/>
  <c r="ADL17" i="1"/>
  <c r="ABM17" i="1"/>
  <c r="ABN17" i="1"/>
  <c r="GH17" i="1"/>
  <c r="JX17" i="1"/>
  <c r="EV17" i="1"/>
  <c r="EH17" i="1"/>
  <c r="AAW17" i="1"/>
  <c r="ADO17" i="1"/>
  <c r="ADW17" i="1"/>
  <c r="ABR17" i="1"/>
  <c r="ADW25" i="1"/>
  <c r="ADO25" i="1"/>
  <c r="AAW25" i="1"/>
  <c r="ABR25" i="1"/>
  <c r="ID9" i="1"/>
  <c r="IE9" i="1" s="1"/>
  <c r="IC9" i="1"/>
  <c r="ID12" i="1"/>
  <c r="IE12" i="1" s="1"/>
  <c r="IC12" i="1"/>
  <c r="ADW14" i="1"/>
  <c r="ADO14" i="1"/>
  <c r="ABR14" i="1"/>
  <c r="AAW14" i="1"/>
  <c r="ABR15" i="1"/>
  <c r="ADO15" i="1"/>
  <c r="ADW15" i="1"/>
  <c r="AAW15" i="1"/>
  <c r="QW13" i="1"/>
  <c r="QX13" i="1" s="1"/>
  <c r="TZ13" i="1" s="1"/>
  <c r="QQ13" i="1"/>
  <c r="QS13" i="1" s="1"/>
  <c r="EH19" i="1"/>
  <c r="EV19" i="1"/>
  <c r="ABN19" i="1"/>
  <c r="GH19" i="1"/>
  <c r="AAW21" i="1"/>
  <c r="ADW21" i="1"/>
  <c r="ABR21" i="1"/>
  <c r="ADO21" i="1"/>
  <c r="ADJ21" i="1" s="1"/>
  <c r="ABM22" i="1"/>
  <c r="ADL22" i="1"/>
  <c r="ADJ22" i="1" s="1"/>
  <c r="ADZ22" i="1"/>
  <c r="LH22" i="1"/>
  <c r="LI22" i="1" s="1"/>
  <c r="LB22" i="1"/>
  <c r="LC22" i="1"/>
  <c r="UX22" i="1"/>
  <c r="JY22" i="1"/>
  <c r="JZ22" i="1" s="1"/>
  <c r="ES22" i="1"/>
  <c r="ET22" i="1" s="1"/>
  <c r="FY22" i="1"/>
  <c r="FZ22" i="1" s="1"/>
  <c r="CZ22" i="1"/>
  <c r="DA22" i="1" s="1"/>
  <c r="KY22" i="1"/>
  <c r="KZ22" i="1" s="1"/>
  <c r="CE34" i="1"/>
  <c r="DK34" i="1"/>
  <c r="ABM9" i="1"/>
  <c r="ADZ9" i="1"/>
  <c r="ADL9" i="1"/>
  <c r="ADJ9" i="1" s="1"/>
  <c r="ADP9" i="1"/>
  <c r="ABX9" i="1"/>
  <c r="ABV9" i="1"/>
  <c r="ADW10" i="1"/>
  <c r="ADO10" i="1"/>
  <c r="ADJ10" i="1" s="1"/>
  <c r="ABR10" i="1"/>
  <c r="AAW10" i="1"/>
  <c r="CU10" i="1"/>
  <c r="DZ10" i="1"/>
  <c r="GI10" i="1"/>
  <c r="GJ10" i="1" s="1"/>
  <c r="KU10" i="1"/>
  <c r="KV10" i="1" s="1"/>
  <c r="DK10" i="1"/>
  <c r="CE10" i="1"/>
  <c r="ABL10" i="1"/>
  <c r="ABM10" i="1"/>
  <c r="ZJ10" i="1"/>
  <c r="ZK10" i="1"/>
  <c r="ADP17" i="1"/>
  <c r="ABX17" i="1"/>
  <c r="ABV17" i="1"/>
  <c r="EW20" i="1"/>
  <c r="KO20" i="1"/>
  <c r="AAW34" i="1"/>
  <c r="ADW34" i="1"/>
  <c r="ADO34" i="1"/>
  <c r="ABR34" i="1"/>
  <c r="ABX20" i="1"/>
  <c r="ADP20" i="1"/>
  <c r="ABV20" i="1"/>
  <c r="ID26" i="1"/>
  <c r="IE26" i="1" s="1"/>
  <c r="IC26" i="1"/>
  <c r="YP23" i="1"/>
  <c r="YA23" i="1"/>
  <c r="IN24" i="1"/>
  <c r="IO24" i="1" s="1"/>
  <c r="ABP24" i="1"/>
  <c r="IM24" i="1"/>
  <c r="IN25" i="1"/>
  <c r="IO25" i="1" s="1"/>
  <c r="ABP25" i="1"/>
  <c r="IM25" i="1"/>
  <c r="ADP26" i="1"/>
  <c r="ABX26" i="1"/>
  <c r="ABV26" i="1"/>
  <c r="GH28" i="1"/>
  <c r="ABN28" i="1"/>
  <c r="RZ28" i="1"/>
  <c r="SA28" i="1" s="1"/>
  <c r="ZN28" i="1"/>
  <c r="ADW29" i="1"/>
  <c r="ADO29" i="1"/>
  <c r="ADJ29" i="1" s="1"/>
  <c r="ABR29" i="1"/>
  <c r="AAW29" i="1"/>
  <c r="RZ29" i="1"/>
  <c r="SA29" i="1" s="1"/>
  <c r="ABL29" i="1"/>
  <c r="ABM29" i="1"/>
  <c r="RZ31" i="1"/>
  <c r="SA31" i="1" s="1"/>
  <c r="CE31" i="1" s="1"/>
  <c r="YP33" i="1"/>
  <c r="YA33" i="1"/>
  <c r="XY33" i="1" s="1"/>
  <c r="IM34" i="1"/>
  <c r="ABP34" i="1"/>
  <c r="IN34" i="1"/>
  <c r="IO34" i="1" s="1"/>
  <c r="IM35" i="1"/>
  <c r="ABP35" i="1"/>
  <c r="IN35" i="1"/>
  <c r="IO35" i="1" s="1"/>
  <c r="SB37" i="1"/>
  <c r="UZ37" i="1"/>
  <c r="SI37" i="1"/>
  <c r="YP38" i="1"/>
  <c r="YA38" i="1"/>
  <c r="IM38" i="1"/>
  <c r="ABP38" i="1"/>
  <c r="IN38" i="1"/>
  <c r="IO38" i="1" s="1"/>
  <c r="ADZ31" i="1"/>
  <c r="ADL31" i="1"/>
  <c r="ADJ31" i="1" s="1"/>
  <c r="ABM31" i="1"/>
  <c r="AAW32" i="1"/>
  <c r="ADW32" i="1"/>
  <c r="ADO32" i="1"/>
  <c r="ABR32" i="1"/>
  <c r="CY32" i="1"/>
  <c r="ADZ32" i="1"/>
  <c r="ADL32" i="1"/>
  <c r="ADJ32" i="1" s="1"/>
  <c r="ABM32" i="1"/>
  <c r="ADW33" i="1"/>
  <c r="ADO33" i="1"/>
  <c r="ABR33" i="1"/>
  <c r="AAW33" i="1"/>
  <c r="CY33" i="1"/>
  <c r="ID33" i="1"/>
  <c r="IE33" i="1" s="1"/>
  <c r="IC33" i="1"/>
  <c r="YP34" i="1"/>
  <c r="YA34" i="1"/>
  <c r="ADP35" i="1"/>
  <c r="ABX35" i="1"/>
  <c r="ABV35" i="1"/>
  <c r="FX36" i="1"/>
  <c r="ABN36" i="1"/>
  <c r="GH36" i="1"/>
  <c r="RZ36" i="1"/>
  <c r="SA36" i="1" s="1"/>
  <c r="IN11" i="1"/>
  <c r="IO11" i="1" s="1"/>
  <c r="ABP11" i="1"/>
  <c r="IM11" i="1"/>
  <c r="ADW12" i="1"/>
  <c r="ADO12" i="1"/>
  <c r="ABR12" i="1"/>
  <c r="AAW12" i="1"/>
  <c r="CJ12" i="1"/>
  <c r="ABX12" i="1"/>
  <c r="ADP12" i="1"/>
  <c r="ABV12" i="1"/>
  <c r="ADW13" i="1"/>
  <c r="ADO13" i="1"/>
  <c r="ABR13" i="1"/>
  <c r="AAW13" i="1"/>
  <c r="ADP18" i="1"/>
  <c r="ABX18" i="1"/>
  <c r="ABV18" i="1"/>
  <c r="CL19" i="1"/>
  <c r="LJ19" i="1"/>
  <c r="YP13" i="1"/>
  <c r="YA13" i="1"/>
  <c r="YP15" i="1"/>
  <c r="YA15" i="1"/>
  <c r="ABP23" i="1"/>
  <c r="IM23" i="1"/>
  <c r="IN23" i="1"/>
  <c r="IO23" i="1" s="1"/>
  <c r="CJ24" i="1"/>
  <c r="YP24" i="1"/>
  <c r="YA24" i="1"/>
  <c r="XY24" i="1" s="1"/>
  <c r="ADP24" i="1"/>
  <c r="ABX24" i="1"/>
  <c r="ABV24" i="1"/>
  <c r="RZ27" i="1"/>
  <c r="SA27" i="1" s="1"/>
  <c r="ABP30" i="1"/>
  <c r="IN30" i="1"/>
  <c r="IO30" i="1" s="1"/>
  <c r="IM30" i="1"/>
  <c r="RZ26" i="1"/>
  <c r="SA26" i="1" s="1"/>
  <c r="CE26" i="1" s="1"/>
  <c r="VL27" i="1"/>
  <c r="IG27" i="1"/>
  <c r="IF27" i="1"/>
  <c r="YP28" i="1"/>
  <c r="YA28" i="1"/>
  <c r="QW28" i="1"/>
  <c r="QX28" i="1" s="1"/>
  <c r="TZ28" i="1" s="1"/>
  <c r="QQ28" i="1"/>
  <c r="QS28" i="1" s="1"/>
  <c r="ID31" i="1"/>
  <c r="IE31" i="1" s="1"/>
  <c r="IC31" i="1"/>
  <c r="CJ33" i="1"/>
  <c r="IM36" i="1"/>
  <c r="ABP36" i="1"/>
  <c r="IN36" i="1"/>
  <c r="IO36" i="1" s="1"/>
  <c r="ABM37" i="1"/>
  <c r="ADZ37" i="1"/>
  <c r="ADL37" i="1"/>
  <c r="ADJ37" i="1" s="1"/>
  <c r="ID38" i="1"/>
  <c r="IE38" i="1" s="1"/>
  <c r="IC38" i="1"/>
  <c r="ADW45" i="1"/>
  <c r="ADO45" i="1"/>
  <c r="AAW45" i="1"/>
  <c r="ABR45" i="1"/>
  <c r="ABX31" i="1"/>
  <c r="ABV31" i="1"/>
  <c r="ADP31" i="1"/>
  <c r="UZ32" i="1"/>
  <c r="SI32" i="1"/>
  <c r="SB32" i="1"/>
  <c r="GI32" i="1" s="1"/>
  <c r="GJ32" i="1" s="1"/>
  <c r="ADP32" i="1"/>
  <c r="ABX32" i="1"/>
  <c r="ABV32" i="1"/>
  <c r="ER33" i="1"/>
  <c r="JX33" i="1"/>
  <c r="RZ33" i="1"/>
  <c r="SA33" i="1" s="1"/>
  <c r="ABP33" i="1"/>
  <c r="IN33" i="1"/>
  <c r="IO33" i="1" s="1"/>
  <c r="IM33" i="1"/>
  <c r="ADZ34" i="1"/>
  <c r="ADL34" i="1"/>
  <c r="ABM34" i="1"/>
  <c r="SB48" i="1"/>
  <c r="UZ48" i="1"/>
  <c r="SI48" i="1"/>
  <c r="SB49" i="1"/>
  <c r="UZ49" i="1"/>
  <c r="SI49" i="1"/>
  <c r="UZ50" i="1"/>
  <c r="SI50" i="1"/>
  <c r="SB50" i="1"/>
  <c r="UZ54" i="1"/>
  <c r="SB54" i="1"/>
  <c r="SI54" i="1"/>
  <c r="UZ52" i="1"/>
  <c r="SI52" i="1"/>
  <c r="SB52" i="1"/>
  <c r="TA55" i="1"/>
  <c r="SR55" i="1"/>
  <c r="FF55" i="1"/>
  <c r="EQ55" i="1"/>
  <c r="DN55" i="1"/>
  <c r="CX55" i="1"/>
  <c r="CI55" i="1"/>
  <c r="GK55" i="1"/>
  <c r="FW55" i="1"/>
  <c r="TC55" i="1"/>
  <c r="JW55" i="1"/>
  <c r="JB55" i="1"/>
  <c r="KW55" i="1"/>
  <c r="JP55" i="1"/>
  <c r="UZ56" i="1"/>
  <c r="SI56" i="1"/>
  <c r="SB56" i="1"/>
  <c r="ZL58" i="1"/>
  <c r="ZQ58" i="1"/>
  <c r="AAW36" i="1"/>
  <c r="ADW36" i="1"/>
  <c r="ADO36" i="1"/>
  <c r="ABR36" i="1"/>
  <c r="CJ36" i="1"/>
  <c r="YP36" i="1"/>
  <c r="YA36" i="1"/>
  <c r="ADP37" i="1"/>
  <c r="ABX37" i="1"/>
  <c r="ABV37" i="1"/>
  <c r="RZ38" i="1"/>
  <c r="SA38" i="1" s="1"/>
  <c r="CE38" i="1" s="1"/>
  <c r="AAW50" i="1"/>
  <c r="ADW50" i="1"/>
  <c r="ADO50" i="1"/>
  <c r="ABR50" i="1"/>
  <c r="RZ39" i="1"/>
  <c r="SA39" i="1" s="1"/>
  <c r="CE39" i="1" s="1"/>
  <c r="ABM39" i="1"/>
  <c r="ADZ39" i="1"/>
  <c r="ADL39" i="1"/>
  <c r="ADJ39" i="1" s="1"/>
  <c r="UZ40" i="1"/>
  <c r="SI40" i="1"/>
  <c r="SB40" i="1"/>
  <c r="GI40" i="1" s="1"/>
  <c r="GJ40" i="1" s="1"/>
  <c r="CJ42" i="1"/>
  <c r="CY43" i="1"/>
  <c r="ADZ43" i="1"/>
  <c r="ADL43" i="1"/>
  <c r="ABM43" i="1"/>
  <c r="CJ44" i="1"/>
  <c r="YP44" i="1"/>
  <c r="YA44" i="1"/>
  <c r="XY44" i="1" s="1"/>
  <c r="ABR46" i="1"/>
  <c r="ADW46" i="1"/>
  <c r="ADO46" i="1"/>
  <c r="AAW46" i="1"/>
  <c r="ADP46" i="1"/>
  <c r="ABX46" i="1"/>
  <c r="ABV46" i="1"/>
  <c r="YN47" i="1"/>
  <c r="XS47" i="1"/>
  <c r="ABP39" i="1"/>
  <c r="IN39" i="1"/>
  <c r="IO39" i="1" s="1"/>
  <c r="IM39" i="1"/>
  <c r="ABR41" i="1"/>
  <c r="ADW41" i="1"/>
  <c r="ADO41" i="1"/>
  <c r="AAW41" i="1"/>
  <c r="CY41" i="1"/>
  <c r="ID41" i="1"/>
  <c r="IE41" i="1" s="1"/>
  <c r="IC41" i="1"/>
  <c r="EV42" i="1"/>
  <c r="EW42" i="1" s="1"/>
  <c r="EH42" i="1"/>
  <c r="FG42" i="1"/>
  <c r="FX42" i="1"/>
  <c r="ABN42" i="1"/>
  <c r="GH42" i="1"/>
  <c r="RZ42" i="1" s="1"/>
  <c r="SA42" i="1" s="1"/>
  <c r="ER44" i="1"/>
  <c r="JX44" i="1"/>
  <c r="IN44" i="1"/>
  <c r="IO44" i="1" s="1"/>
  <c r="ABP44" i="1"/>
  <c r="IM44" i="1"/>
  <c r="EV45" i="1"/>
  <c r="EH45" i="1"/>
  <c r="FG45" i="1"/>
  <c r="FX45" i="1"/>
  <c r="ABN45" i="1"/>
  <c r="GH45" i="1"/>
  <c r="CY45" i="1"/>
  <c r="ABP46" i="1"/>
  <c r="IN46" i="1"/>
  <c r="IO46" i="1" s="1"/>
  <c r="IM46" i="1"/>
  <c r="CJ49" i="1"/>
  <c r="SP49" i="1"/>
  <c r="FF49" i="1" s="1"/>
  <c r="ABP49" i="1"/>
  <c r="IN49" i="1"/>
  <c r="IO49" i="1" s="1"/>
  <c r="IM49" i="1"/>
  <c r="ADW55" i="1"/>
  <c r="ADO55" i="1"/>
  <c r="ADJ55" i="1" s="1"/>
  <c r="ABR55" i="1"/>
  <c r="AAW55" i="1"/>
  <c r="IM52" i="1"/>
  <c r="ABP52" i="1"/>
  <c r="IN52" i="1"/>
  <c r="IO52" i="1" s="1"/>
  <c r="CY54" i="1"/>
  <c r="CX54" i="1"/>
  <c r="ADZ52" i="1"/>
  <c r="ADL52" i="1"/>
  <c r="ABM52" i="1"/>
  <c r="ST53" i="1"/>
  <c r="SV53" i="1" s="1"/>
  <c r="SN53" i="1"/>
  <c r="ID53" i="1"/>
  <c r="IE53" i="1" s="1"/>
  <c r="IC53" i="1"/>
  <c r="TC53" i="1" s="1"/>
  <c r="ER54" i="1"/>
  <c r="EQ54" i="1"/>
  <c r="JX54" i="1"/>
  <c r="JW54" i="1"/>
  <c r="EV54" i="1"/>
  <c r="EW54" i="1" s="1"/>
  <c r="EH54" i="1"/>
  <c r="FF54" i="1"/>
  <c r="FG54" i="1"/>
  <c r="ADP54" i="1"/>
  <c r="ABX54" i="1"/>
  <c r="ABV54" i="1"/>
  <c r="CX56" i="1"/>
  <c r="CY56" i="1"/>
  <c r="CL58" i="1"/>
  <c r="YP57" i="1"/>
  <c r="YA57" i="1"/>
  <c r="ID58" i="1"/>
  <c r="IE58" i="1" s="1"/>
  <c r="IC58" i="1"/>
  <c r="TC58" i="1" s="1"/>
  <c r="CL59" i="1"/>
  <c r="CY60" i="1"/>
  <c r="FG60" i="1"/>
  <c r="JX60" i="1"/>
  <c r="CJ60" i="1"/>
  <c r="SP60" i="1"/>
  <c r="UY47" i="1"/>
  <c r="UL47" i="1"/>
  <c r="LJ14" i="1"/>
  <c r="CL14" i="1"/>
  <c r="XU14" i="1"/>
  <c r="XT14" i="1" s="1"/>
  <c r="WZ14" i="1"/>
  <c r="XB14" i="1" s="1"/>
  <c r="UW14" i="1"/>
  <c r="ABX25" i="1"/>
  <c r="ABV25" i="1"/>
  <c r="ADP25" i="1"/>
  <c r="ADP38" i="1"/>
  <c r="ABX38" i="1"/>
  <c r="ABV38" i="1"/>
  <c r="ZN33" i="1"/>
  <c r="JX35" i="1"/>
  <c r="EV35" i="1"/>
  <c r="EW35" i="1" s="1"/>
  <c r="EH35" i="1"/>
  <c r="ADZ35" i="1"/>
  <c r="ADL35" i="1"/>
  <c r="ADJ35" i="1" s="1"/>
  <c r="ABM35" i="1"/>
  <c r="ER37" i="1"/>
  <c r="JX37" i="1"/>
  <c r="ABP37" i="1"/>
  <c r="IN37" i="1"/>
  <c r="IO37" i="1" s="1"/>
  <c r="IM37" i="1"/>
  <c r="AAW38" i="1"/>
  <c r="ADW38" i="1"/>
  <c r="ADO38" i="1"/>
  <c r="ABR38" i="1"/>
  <c r="CJ38" i="1"/>
  <c r="ADX47" i="1"/>
  <c r="ADB47" i="1"/>
  <c r="ABQ47" i="1"/>
  <c r="ADZ41" i="1"/>
  <c r="ADL41" i="1"/>
  <c r="ADJ41" i="1" s="1"/>
  <c r="ABM41" i="1"/>
  <c r="SB43" i="1"/>
  <c r="GI43" i="1" s="1"/>
  <c r="GJ43" i="1" s="1"/>
  <c r="UZ43" i="1"/>
  <c r="SI43" i="1"/>
  <c r="ADZ44" i="1"/>
  <c r="ADL44" i="1"/>
  <c r="ABM44" i="1"/>
  <c r="CJ45" i="1"/>
  <c r="ADZ45" i="1"/>
  <c r="ADL45" i="1"/>
  <c r="ABM45" i="1"/>
  <c r="JW46" i="1"/>
  <c r="JX46" i="1"/>
  <c r="ER41" i="1"/>
  <c r="JX41" i="1"/>
  <c r="RZ41" i="1"/>
  <c r="SA41" i="1" s="1"/>
  <c r="ABP41" i="1"/>
  <c r="IN41" i="1"/>
  <c r="IO41" i="1" s="1"/>
  <c r="IM41" i="1"/>
  <c r="ADW42" i="1"/>
  <c r="ADO42" i="1"/>
  <c r="ABR42" i="1"/>
  <c r="AAW42" i="1"/>
  <c r="CY42" i="1"/>
  <c r="ID42" i="1"/>
  <c r="IE42" i="1" s="1"/>
  <c r="IC42" i="1"/>
  <c r="ID43" i="1"/>
  <c r="IE43" i="1" s="1"/>
  <c r="IC43" i="1"/>
  <c r="ID44" i="1"/>
  <c r="IE44" i="1" s="1"/>
  <c r="IC44" i="1"/>
  <c r="ID45" i="1"/>
  <c r="IE45" i="1" s="1"/>
  <c r="IC45" i="1"/>
  <c r="ABP48" i="1"/>
  <c r="IM48" i="1"/>
  <c r="IN48" i="1"/>
  <c r="IO48" i="1" s="1"/>
  <c r="EQ49" i="1"/>
  <c r="ER49" i="1"/>
  <c r="JW49" i="1"/>
  <c r="JX49" i="1"/>
  <c r="EV48" i="1"/>
  <c r="EW48" i="1" s="1"/>
  <c r="EH48" i="1"/>
  <c r="LH48" i="1"/>
  <c r="LI48" i="1" s="1"/>
  <c r="LB48" i="1"/>
  <c r="UX48" i="1"/>
  <c r="LC48" i="1"/>
  <c r="ID50" i="1"/>
  <c r="IE50" i="1" s="1"/>
  <c r="IC50" i="1"/>
  <c r="TC50" i="1" s="1"/>
  <c r="ADX55" i="1"/>
  <c r="ADB55" i="1"/>
  <c r="ABQ55" i="1"/>
  <c r="SP51" i="1"/>
  <c r="EQ51" i="1" s="1"/>
  <c r="CJ51" i="1"/>
  <c r="CI51" i="1"/>
  <c r="EV51" i="1"/>
  <c r="EH51" i="1"/>
  <c r="FG51" i="1"/>
  <c r="FF51" i="1"/>
  <c r="FX51" i="1"/>
  <c r="ADW52" i="1"/>
  <c r="ADO52" i="1"/>
  <c r="AAW52" i="1"/>
  <c r="ABR52" i="1"/>
  <c r="YP52" i="1"/>
  <c r="YA52" i="1"/>
  <c r="ABR58" i="1"/>
  <c r="ADW58" i="1"/>
  <c r="ADO58" i="1"/>
  <c r="AAW58" i="1"/>
  <c r="YP56" i="1"/>
  <c r="YA56" i="1"/>
  <c r="XY56" i="1" s="1"/>
  <c r="ID59" i="1"/>
  <c r="IE59" i="1" s="1"/>
  <c r="IC59" i="1"/>
  <c r="TC59" i="1" s="1"/>
  <c r="ADZ57" i="1"/>
  <c r="ADL57" i="1"/>
  <c r="ADJ57" i="1" s="1"/>
  <c r="ABM57" i="1"/>
  <c r="ABP58" i="1"/>
  <c r="IN58" i="1"/>
  <c r="IO58" i="1" s="1"/>
  <c r="IM58" i="1"/>
  <c r="ID60" i="1"/>
  <c r="IE60" i="1" s="1"/>
  <c r="IC60" i="1"/>
  <c r="TC60" i="1" s="1"/>
  <c r="YP60" i="1"/>
  <c r="YA60" i="1"/>
  <c r="XY60" i="1" s="1"/>
  <c r="ADP40" i="1"/>
  <c r="ABX40" i="1"/>
  <c r="ABV40" i="1"/>
  <c r="ADP41" i="1"/>
  <c r="ABX41" i="1"/>
  <c r="ABV41" i="1"/>
  <c r="ABX45" i="1"/>
  <c r="ABV45" i="1"/>
  <c r="ADP45" i="1"/>
  <c r="ABX56" i="1"/>
  <c r="ABV56" i="1"/>
  <c r="ADP56" i="1"/>
  <c r="ADP60" i="1"/>
  <c r="ABX60" i="1"/>
  <c r="ABV60" i="1"/>
  <c r="ADP39" i="1"/>
  <c r="ABX39" i="1"/>
  <c r="ABV39" i="1"/>
  <c r="ZN42" i="1"/>
  <c r="ADP44" i="1"/>
  <c r="ABX44" i="1"/>
  <c r="ABV44" i="1"/>
  <c r="ADP59" i="1"/>
  <c r="ABX59" i="1"/>
  <c r="ABV59" i="1"/>
  <c r="ADP57" i="1"/>
  <c r="ABX57" i="1"/>
  <c r="ABV57" i="1"/>
  <c r="JY18" i="1"/>
  <c r="JZ18" i="1" s="1"/>
  <c r="CZ9" i="1"/>
  <c r="DA9" i="1" s="1"/>
  <c r="FY9" i="1"/>
  <c r="FZ9" i="1" s="1"/>
  <c r="ED9" i="1"/>
  <c r="EE9" i="1" s="1"/>
  <c r="FH18" i="1"/>
  <c r="FI18" i="1" s="1"/>
  <c r="XY16" i="1"/>
  <c r="XY17" i="1"/>
  <c r="XV16" i="1"/>
  <c r="XV17" i="1"/>
  <c r="XY18" i="1"/>
  <c r="XY22" i="1"/>
  <c r="SD9" i="1"/>
  <c r="CK9" i="1"/>
  <c r="VO9" i="1"/>
  <c r="GI11" i="1"/>
  <c r="GJ11" i="1" s="1"/>
  <c r="GL11" i="1" s="1"/>
  <c r="SD12" i="1"/>
  <c r="ZJ12" i="1"/>
  <c r="GI15" i="1"/>
  <c r="GJ15" i="1" s="1"/>
  <c r="SD18" i="1"/>
  <c r="ZK13" i="1"/>
  <c r="ADJ13" i="1"/>
  <c r="SO13" i="1"/>
  <c r="ZK14" i="1"/>
  <c r="ADJ14" i="1"/>
  <c r="ZR14" i="1"/>
  <c r="SO14" i="1"/>
  <c r="ZK15" i="1"/>
  <c r="ADJ15" i="1"/>
  <c r="SO26" i="1"/>
  <c r="VO30" i="1"/>
  <c r="ZJ30" i="1"/>
  <c r="ZK23" i="1"/>
  <c r="JR18" i="1"/>
  <c r="JS18" i="1" s="1"/>
  <c r="GM9" i="1"/>
  <c r="GN9" i="1" s="1"/>
  <c r="CZ18" i="1"/>
  <c r="DA18" i="1" s="1"/>
  <c r="JD18" i="1"/>
  <c r="JE18" i="1" s="1"/>
  <c r="EN15" i="1"/>
  <c r="RZ14" i="1"/>
  <c r="SA14" i="1" s="1"/>
  <c r="ADJ16" i="1"/>
  <c r="ZK16" i="1"/>
  <c r="KO16" i="1"/>
  <c r="KY9" i="1"/>
  <c r="KZ9" i="1" s="1"/>
  <c r="SO16" i="1"/>
  <c r="SO17" i="1"/>
  <c r="KO18" i="1"/>
  <c r="ABL13" i="1"/>
  <c r="ZJ13" i="1"/>
  <c r="RZ20" i="1"/>
  <c r="SA20" i="1" s="1"/>
  <c r="ZR22" i="1"/>
  <c r="SD22" i="1"/>
  <c r="DP9" i="1"/>
  <c r="DQ9" i="1" s="1"/>
  <c r="FH9" i="1"/>
  <c r="FI9" i="1" s="1"/>
  <c r="JY20" i="1"/>
  <c r="JZ20" i="1" s="1"/>
  <c r="DZ34" i="1"/>
  <c r="KO9" i="1"/>
  <c r="GM11" i="1"/>
  <c r="GN11" i="1" s="1"/>
  <c r="ADJ19" i="1"/>
  <c r="KY20" i="1"/>
  <c r="KZ20" i="1" s="1"/>
  <c r="VO23" i="1"/>
  <c r="SO24" i="1"/>
  <c r="KO25" i="1"/>
  <c r="XY25" i="1"/>
  <c r="GI26" i="1"/>
  <c r="GJ26" i="1" s="1"/>
  <c r="ZJ23" i="1"/>
  <c r="XY23" i="1"/>
  <c r="KO26" i="1"/>
  <c r="ABL28" i="1"/>
  <c r="ZJ28" i="1"/>
  <c r="ZK28" i="1"/>
  <c r="ADJ28" i="1"/>
  <c r="CE30" i="1"/>
  <c r="SO31" i="1"/>
  <c r="XY37" i="1"/>
  <c r="XY38" i="1"/>
  <c r="ZJ34" i="1"/>
  <c r="ABL34" i="1"/>
  <c r="XY34" i="1"/>
  <c r="KO35" i="1"/>
  <c r="ZK36" i="1"/>
  <c r="ADJ36" i="1"/>
  <c r="JY11" i="1"/>
  <c r="JZ11" i="1" s="1"/>
  <c r="ES18" i="1"/>
  <c r="ET18" i="1" s="1"/>
  <c r="FR30" i="1"/>
  <c r="GM20" i="1"/>
  <c r="GN20" i="1" s="1"/>
  <c r="ZN26" i="1"/>
  <c r="KU30" i="1"/>
  <c r="KV30" i="1" s="1"/>
  <c r="FC34" i="1"/>
  <c r="ZN35" i="1"/>
  <c r="CU34" i="1"/>
  <c r="KY11" i="1"/>
  <c r="KZ11" i="1" s="1"/>
  <c r="XY19" i="1"/>
  <c r="GM13" i="1"/>
  <c r="GN13" i="1" s="1"/>
  <c r="XY13" i="1"/>
  <c r="CU15" i="1"/>
  <c r="XY15" i="1"/>
  <c r="KO24" i="1"/>
  <c r="ABL24" i="1"/>
  <c r="SO25" i="1"/>
  <c r="ADJ27" i="1"/>
  <c r="GI29" i="1"/>
  <c r="GJ29" i="1" s="1"/>
  <c r="SO30" i="1"/>
  <c r="XY30" i="1"/>
  <c r="ABL33" i="1"/>
  <c r="GI24" i="1"/>
  <c r="GJ24" i="1" s="1"/>
  <c r="ZK26" i="1"/>
  <c r="ADJ26" i="1"/>
  <c r="GI27" i="1"/>
  <c r="GJ27" i="1" s="1"/>
  <c r="KO28" i="1"/>
  <c r="XY28" i="1"/>
  <c r="DK30" i="1"/>
  <c r="KO31" i="1"/>
  <c r="GI31" i="1"/>
  <c r="GJ31" i="1" s="1"/>
  <c r="ADE31" i="1"/>
  <c r="ZK33" i="1"/>
  <c r="ADJ33" i="1"/>
  <c r="VO36" i="1"/>
  <c r="KO37" i="1"/>
  <c r="ADJ38" i="1"/>
  <c r="ZK38" i="1"/>
  <c r="ZJ36" i="1"/>
  <c r="ABL36" i="1"/>
  <c r="XY36" i="1"/>
  <c r="XY40" i="1"/>
  <c r="SO40" i="1"/>
  <c r="XY41" i="1"/>
  <c r="ZK42" i="1"/>
  <c r="ADJ42" i="1"/>
  <c r="ADJ43" i="1"/>
  <c r="ZJ44" i="1"/>
  <c r="ABL45" i="1"/>
  <c r="XY45" i="1"/>
  <c r="SD42" i="1"/>
  <c r="KO44" i="1"/>
  <c r="ZK49" i="1"/>
  <c r="ADJ49" i="1"/>
  <c r="RZ50" i="1"/>
  <c r="SA50" i="1" s="1"/>
  <c r="XY50" i="1"/>
  <c r="SO48" i="1"/>
  <c r="SO49" i="1"/>
  <c r="CK50" i="1"/>
  <c r="XY51" i="1"/>
  <c r="ZK53" i="1"/>
  <c r="ADJ53" i="1"/>
  <c r="SG51" i="1"/>
  <c r="SE54" i="1"/>
  <c r="ZK56" i="1"/>
  <c r="ADJ56" i="1"/>
  <c r="EB55" i="1"/>
  <c r="ADJ59" i="1"/>
  <c r="ZK59" i="1"/>
  <c r="XY58" i="1"/>
  <c r="SE59" i="1"/>
  <c r="ZJ57" i="1"/>
  <c r="ABL57" i="1"/>
  <c r="XY57" i="1"/>
  <c r="KY58" i="1"/>
  <c r="KZ58" i="1" s="1"/>
  <c r="ZR58" i="1"/>
  <c r="ADJ60" i="1"/>
  <c r="ZK60" i="1"/>
  <c r="ABL60" i="1"/>
  <c r="ZN49" i="1"/>
  <c r="ES50" i="1"/>
  <c r="ET50" i="1" s="1"/>
  <c r="JD50" i="1"/>
  <c r="JE50" i="1" s="1"/>
  <c r="ED50" i="1"/>
  <c r="EE50" i="1" s="1"/>
  <c r="JY50" i="1"/>
  <c r="JZ50" i="1" s="1"/>
  <c r="ZN58" i="1"/>
  <c r="FH59" i="1"/>
  <c r="FI59" i="1" s="1"/>
  <c r="GM59" i="1"/>
  <c r="GN59" i="1" s="1"/>
  <c r="DP58" i="1"/>
  <c r="DQ58" i="1" s="1"/>
  <c r="FH58" i="1"/>
  <c r="FI58" i="1" s="1"/>
  <c r="DP59" i="1"/>
  <c r="DQ59" i="1" s="1"/>
  <c r="FY58" i="1"/>
  <c r="FZ58" i="1" s="1"/>
  <c r="ADJ34" i="1"/>
  <c r="SD35" i="1"/>
  <c r="KO39" i="1"/>
  <c r="ZJ39" i="1"/>
  <c r="XY39" i="1"/>
  <c r="KO40" i="1"/>
  <c r="ZK40" i="1"/>
  <c r="ADJ40" i="1"/>
  <c r="ZJ42" i="1"/>
  <c r="XY42" i="1"/>
  <c r="XY43" i="1"/>
  <c r="ADJ44" i="1"/>
  <c r="ADJ45" i="1"/>
  <c r="KO46" i="1"/>
  <c r="ADJ46" i="1"/>
  <c r="ZK46" i="1"/>
  <c r="ABL47" i="1"/>
  <c r="GI39" i="1"/>
  <c r="GJ39" i="1" s="1"/>
  <c r="SO39" i="1"/>
  <c r="SD44" i="1"/>
  <c r="SD45" i="1"/>
  <c r="SF46" i="1"/>
  <c r="SJ46" i="1" s="1"/>
  <c r="UL46" i="1"/>
  <c r="ABM47" i="1"/>
  <c r="SC49" i="1"/>
  <c r="SG49" i="1" s="1"/>
  <c r="ZJ49" i="1"/>
  <c r="XY49" i="1"/>
  <c r="SH50" i="1"/>
  <c r="ZJ50" i="1"/>
  <c r="ZK50" i="1"/>
  <c r="ADJ50" i="1"/>
  <c r="SO50" i="1"/>
  <c r="ZK48" i="1"/>
  <c r="ADJ48" i="1"/>
  <c r="VO49" i="1"/>
  <c r="SE50" i="1"/>
  <c r="ADE50" i="1"/>
  <c r="KY50" i="1"/>
  <c r="KZ50" i="1" s="1"/>
  <c r="VO54" i="1"/>
  <c r="ZK51" i="1"/>
  <c r="ADJ51" i="1"/>
  <c r="SO51" i="1"/>
  <c r="UL52" i="1"/>
  <c r="XY53" i="1"/>
  <c r="ABN51" i="1"/>
  <c r="SH51" i="1"/>
  <c r="GK52" i="1"/>
  <c r="KW52" i="1"/>
  <c r="ZJ52" i="1"/>
  <c r="ABL52" i="1"/>
  <c r="XY52" i="1"/>
  <c r="EB53" i="1"/>
  <c r="JW53" i="1"/>
  <c r="RZ54" i="1"/>
  <c r="SA54" i="1" s="1"/>
  <c r="ZK54" i="1"/>
  <c r="ADJ54" i="1"/>
  <c r="SE56" i="1"/>
  <c r="VO56" i="1"/>
  <c r="KY59" i="1"/>
  <c r="KZ59" i="1" s="1"/>
  <c r="KO59" i="1"/>
  <c r="SG57" i="1"/>
  <c r="SO57" i="1"/>
  <c r="ZK58" i="1"/>
  <c r="ADJ58" i="1"/>
  <c r="ADE59" i="1"/>
  <c r="KO57" i="1"/>
  <c r="RZ59" i="1"/>
  <c r="SA59" i="1" s="1"/>
  <c r="ADE60" i="1"/>
  <c r="SO60" i="1"/>
  <c r="SC60" i="1"/>
  <c r="SG60" i="1" s="1"/>
  <c r="ZK47" i="1"/>
  <c r="ZR48" i="1"/>
  <c r="FW51" i="1" l="1"/>
  <c r="ADJ52" i="1"/>
  <c r="CI49" i="1"/>
  <c r="ADJ25" i="1"/>
  <c r="ADJ12" i="1"/>
  <c r="CE43" i="1"/>
  <c r="CE14" i="2"/>
  <c r="ADJ17" i="1"/>
  <c r="GI13" i="1"/>
  <c r="GJ13" i="1" s="1"/>
  <c r="GL13" i="1" s="1"/>
  <c r="ABQ13" i="1"/>
  <c r="ADX13" i="1"/>
  <c r="ADB13" i="1"/>
  <c r="ADX15" i="1"/>
  <c r="ABQ15" i="1"/>
  <c r="ADB15" i="1"/>
  <c r="GL14" i="2"/>
  <c r="FC12" i="2"/>
  <c r="DZ12" i="2"/>
  <c r="CU12" i="2"/>
  <c r="FR12" i="2"/>
  <c r="DK12" i="2"/>
  <c r="GI12" i="2"/>
  <c r="GJ12" i="2" s="1"/>
  <c r="EN12" i="2"/>
  <c r="CE12" i="2"/>
  <c r="KU12" i="2"/>
  <c r="KV12" i="2" s="1"/>
  <c r="ADX13" i="2"/>
  <c r="ADB13" i="2"/>
  <c r="ABQ13" i="2"/>
  <c r="ADX10" i="2"/>
  <c r="ADB10" i="2"/>
  <c r="ABQ10" i="2"/>
  <c r="IG14" i="2"/>
  <c r="VL14" i="2"/>
  <c r="IF14" i="2"/>
  <c r="IG10" i="2"/>
  <c r="VL10" i="2"/>
  <c r="IF10" i="2"/>
  <c r="CE11" i="2"/>
  <c r="SB10" i="2"/>
  <c r="CU10" i="2" s="1"/>
  <c r="UZ10" i="2"/>
  <c r="SI10" i="2"/>
  <c r="SO10" i="2"/>
  <c r="FR13" i="2"/>
  <c r="KU13" i="2"/>
  <c r="KV13" i="2" s="1"/>
  <c r="DZ13" i="2"/>
  <c r="CU13" i="2"/>
  <c r="FC13" i="2"/>
  <c r="EN13" i="2"/>
  <c r="DK13" i="2"/>
  <c r="ADX12" i="2"/>
  <c r="ADB12" i="2"/>
  <c r="ABQ12" i="2"/>
  <c r="KU11" i="2"/>
  <c r="KV11" i="2" s="1"/>
  <c r="DZ11" i="2"/>
  <c r="CU11" i="2"/>
  <c r="DK11" i="2"/>
  <c r="VL12" i="2"/>
  <c r="IF12" i="2"/>
  <c r="IG12" i="2"/>
  <c r="ADX14" i="2"/>
  <c r="ADB14" i="2"/>
  <c r="ABQ14" i="2"/>
  <c r="ADX11" i="2"/>
  <c r="ADB11" i="2"/>
  <c r="ABQ11" i="2"/>
  <c r="EW11" i="2"/>
  <c r="KO11" i="2"/>
  <c r="DZ14" i="2"/>
  <c r="CU14" i="2"/>
  <c r="FR14" i="2"/>
  <c r="EN14" i="2"/>
  <c r="DK14" i="2"/>
  <c r="FC14" i="2"/>
  <c r="KU14" i="2"/>
  <c r="KV14" i="2" s="1"/>
  <c r="VL13" i="2"/>
  <c r="IG13" i="2"/>
  <c r="IF13" i="2"/>
  <c r="VL11" i="2"/>
  <c r="IG11" i="2"/>
  <c r="IF11" i="2"/>
  <c r="FC11" i="2"/>
  <c r="GI13" i="2"/>
  <c r="GJ13" i="2" s="1"/>
  <c r="GI11" i="2"/>
  <c r="GJ11" i="2" s="1"/>
  <c r="GI10" i="2"/>
  <c r="GJ10" i="2" s="1"/>
  <c r="GL43" i="1"/>
  <c r="GL40" i="1"/>
  <c r="GL32" i="1"/>
  <c r="EA30" i="1"/>
  <c r="SH30" i="1"/>
  <c r="SF30" i="1"/>
  <c r="SJ30" i="1" s="1"/>
  <c r="SE30" i="1"/>
  <c r="SB44" i="1"/>
  <c r="UZ44" i="1"/>
  <c r="SI44" i="1"/>
  <c r="SO44" i="1"/>
  <c r="GL39" i="1"/>
  <c r="GL24" i="1"/>
  <c r="GL29" i="1"/>
  <c r="SB22" i="1"/>
  <c r="UZ22" i="1"/>
  <c r="SI22" i="1"/>
  <c r="SO22" i="1"/>
  <c r="DZ20" i="1"/>
  <c r="DK20" i="1"/>
  <c r="CU20" i="1"/>
  <c r="EN20" i="1"/>
  <c r="CE20" i="1"/>
  <c r="FR20" i="1"/>
  <c r="KU20" i="1"/>
  <c r="KV20" i="1" s="1"/>
  <c r="KX20" i="1" s="1"/>
  <c r="FC20" i="1"/>
  <c r="UZ18" i="1"/>
  <c r="SI18" i="1"/>
  <c r="SB18" i="1"/>
  <c r="SO18" i="1"/>
  <c r="SB9" i="1"/>
  <c r="UZ9" i="1"/>
  <c r="SI9" i="1"/>
  <c r="SO9" i="1"/>
  <c r="ZL9" i="1"/>
  <c r="ZQ9" i="1"/>
  <c r="ZR9" i="1" s="1"/>
  <c r="IG60" i="1"/>
  <c r="VL60" i="1"/>
  <c r="IF60" i="1"/>
  <c r="IF59" i="1"/>
  <c r="VL59" i="1"/>
  <c r="IG59" i="1"/>
  <c r="RN59" i="1"/>
  <c r="PF59" i="1"/>
  <c r="EW51" i="1"/>
  <c r="KO51" i="1"/>
  <c r="ST51" i="1"/>
  <c r="SV51" i="1" s="1"/>
  <c r="SN51" i="1"/>
  <c r="VL50" i="1"/>
  <c r="IG50" i="1"/>
  <c r="IF50" i="1"/>
  <c r="PF50" i="1"/>
  <c r="RN50" i="1"/>
  <c r="XU48" i="1"/>
  <c r="XT48" i="1" s="1"/>
  <c r="UW48" i="1"/>
  <c r="ADX41" i="1"/>
  <c r="ADB41" i="1"/>
  <c r="ABQ41" i="1"/>
  <c r="ADX37" i="1"/>
  <c r="ADB37" i="1"/>
  <c r="ABQ37" i="1"/>
  <c r="YZ14" i="1"/>
  <c r="LL14" i="1"/>
  <c r="LK14" i="1"/>
  <c r="PH14" i="1"/>
  <c r="SR60" i="1"/>
  <c r="DN60" i="1"/>
  <c r="JB60" i="1"/>
  <c r="JP60" i="1"/>
  <c r="TA60" i="1"/>
  <c r="GK60" i="1"/>
  <c r="KW60" i="1"/>
  <c r="EB60" i="1"/>
  <c r="UK58" i="1"/>
  <c r="TO58" i="1"/>
  <c r="TE58" i="1"/>
  <c r="UH58" i="1"/>
  <c r="TG58" i="1"/>
  <c r="VL53" i="1"/>
  <c r="IG53" i="1"/>
  <c r="IF53" i="1"/>
  <c r="ST49" i="1"/>
  <c r="SV49" i="1" s="1"/>
  <c r="SN49" i="1"/>
  <c r="IG41" i="1"/>
  <c r="VL41" i="1"/>
  <c r="IF41" i="1"/>
  <c r="SQ55" i="1"/>
  <c r="LA55" i="1"/>
  <c r="CK55" i="1"/>
  <c r="VL38" i="1"/>
  <c r="IF38" i="1"/>
  <c r="IG38" i="1"/>
  <c r="YN27" i="1"/>
  <c r="XS27" i="1"/>
  <c r="KU27" i="1"/>
  <c r="KV27" i="1" s="1"/>
  <c r="CE27" i="1"/>
  <c r="CU27" i="1"/>
  <c r="DK27" i="1"/>
  <c r="DZ27" i="1"/>
  <c r="FR27" i="1"/>
  <c r="EN27" i="1"/>
  <c r="ADX23" i="1"/>
  <c r="ADB23" i="1"/>
  <c r="ABQ23" i="1"/>
  <c r="ADX34" i="1"/>
  <c r="ADB34" i="1"/>
  <c r="ABQ34" i="1"/>
  <c r="CE29" i="1"/>
  <c r="DK29" i="1"/>
  <c r="CU29" i="1"/>
  <c r="DZ29" i="1"/>
  <c r="KU29" i="1"/>
  <c r="KV29" i="1" s="1"/>
  <c r="FR29" i="1"/>
  <c r="FC29" i="1"/>
  <c r="ABQ25" i="1"/>
  <c r="ADX25" i="1"/>
  <c r="ADB25" i="1"/>
  <c r="VL26" i="1"/>
  <c r="IF26" i="1"/>
  <c r="IG26" i="1"/>
  <c r="GL10" i="1"/>
  <c r="XU22" i="1"/>
  <c r="XT22" i="1" s="1"/>
  <c r="UW22" i="1"/>
  <c r="YN10" i="1"/>
  <c r="XS10" i="1"/>
  <c r="DK24" i="1"/>
  <c r="DZ24" i="1"/>
  <c r="KU24" i="1"/>
  <c r="KV24" i="1" s="1"/>
  <c r="CU24" i="1"/>
  <c r="FC24" i="1"/>
  <c r="EN24" i="1"/>
  <c r="FR24" i="1"/>
  <c r="ADB20" i="1"/>
  <c r="ADX20" i="1"/>
  <c r="ABQ20" i="1"/>
  <c r="EW22" i="1"/>
  <c r="KO22" i="1"/>
  <c r="ADB12" i="1"/>
  <c r="ADX12" i="1"/>
  <c r="ABQ12" i="1"/>
  <c r="FR10" i="1"/>
  <c r="EN10" i="1"/>
  <c r="SB41" i="1"/>
  <c r="EN41" i="1" s="1"/>
  <c r="UZ41" i="1"/>
  <c r="SI41" i="1"/>
  <c r="SO41" i="1"/>
  <c r="ZL59" i="1"/>
  <c r="ZQ59" i="1"/>
  <c r="ZR59" i="1" s="1"/>
  <c r="SB33" i="1"/>
  <c r="UZ33" i="1"/>
  <c r="SI33" i="1"/>
  <c r="SO33" i="1"/>
  <c r="GL30" i="1"/>
  <c r="KX34" i="1"/>
  <c r="DZ23" i="1"/>
  <c r="DK23" i="1"/>
  <c r="CU23" i="1"/>
  <c r="CE23" i="1"/>
  <c r="FC23" i="1"/>
  <c r="FR23" i="1"/>
  <c r="KU23" i="1"/>
  <c r="KV23" i="1" s="1"/>
  <c r="EN23" i="1"/>
  <c r="SR58" i="1"/>
  <c r="TA58" i="1"/>
  <c r="ADX57" i="1"/>
  <c r="ADB57" i="1"/>
  <c r="ABQ57" i="1"/>
  <c r="ST56" i="1"/>
  <c r="SV56" i="1" s="1"/>
  <c r="SN56" i="1"/>
  <c r="ADX53" i="1"/>
  <c r="ADB53" i="1"/>
  <c r="ABQ53" i="1"/>
  <c r="VL51" i="1"/>
  <c r="IG51" i="1"/>
  <c r="IF51" i="1"/>
  <c r="VL54" i="1"/>
  <c r="IF54" i="1"/>
  <c r="IG54" i="1"/>
  <c r="VL52" i="1"/>
  <c r="IF52" i="1"/>
  <c r="IG52" i="1"/>
  <c r="ST50" i="1"/>
  <c r="SV50" i="1" s="1"/>
  <c r="SN50" i="1"/>
  <c r="SR48" i="1"/>
  <c r="TA48" i="1"/>
  <c r="UK46" i="1"/>
  <c r="TO46" i="1"/>
  <c r="TE46" i="1"/>
  <c r="UH46" i="1"/>
  <c r="TG46" i="1"/>
  <c r="SR46" i="1"/>
  <c r="FW46" i="1"/>
  <c r="KW46" i="1"/>
  <c r="CX46" i="1"/>
  <c r="DN46" i="1"/>
  <c r="FF46" i="1"/>
  <c r="CI46" i="1"/>
  <c r="EQ46" i="1"/>
  <c r="JP46" i="1"/>
  <c r="GK46" i="1"/>
  <c r="TA46" i="1"/>
  <c r="JB46" i="1"/>
  <c r="KU44" i="1"/>
  <c r="KV44" i="1" s="1"/>
  <c r="DK44" i="1"/>
  <c r="CU44" i="1"/>
  <c r="DZ44" i="1"/>
  <c r="EW41" i="1"/>
  <c r="KO41" i="1"/>
  <c r="VL40" i="1"/>
  <c r="IG40" i="1"/>
  <c r="IF40" i="1"/>
  <c r="IG39" i="1"/>
  <c r="VL39" i="1"/>
  <c r="IF39" i="1"/>
  <c r="PU14" i="1"/>
  <c r="PZ14" i="1"/>
  <c r="SQ52" i="1"/>
  <c r="SS52" i="1" s="1"/>
  <c r="LA52" i="1"/>
  <c r="PF52" i="1" s="1"/>
  <c r="UK47" i="1"/>
  <c r="TO47" i="1"/>
  <c r="TE47" i="1"/>
  <c r="UH47" i="1"/>
  <c r="TG47" i="1"/>
  <c r="SR59" i="1"/>
  <c r="TA59" i="1"/>
  <c r="VL57" i="1"/>
  <c r="IF57" i="1"/>
  <c r="IG57" i="1"/>
  <c r="VL56" i="1"/>
  <c r="IG56" i="1"/>
  <c r="IF56" i="1"/>
  <c r="ST54" i="1"/>
  <c r="SV54" i="1" s="1"/>
  <c r="SN54" i="1"/>
  <c r="ABQ51" i="1"/>
  <c r="ADX51" i="1"/>
  <c r="ADB51" i="1"/>
  <c r="ADX54" i="1"/>
  <c r="ADB54" i="1"/>
  <c r="ABQ54" i="1"/>
  <c r="ADX50" i="1"/>
  <c r="ADB50" i="1"/>
  <c r="ABQ50" i="1"/>
  <c r="XU50" i="1"/>
  <c r="XT50" i="1" s="1"/>
  <c r="WZ50" i="1"/>
  <c r="XB50" i="1" s="1"/>
  <c r="UW50" i="1"/>
  <c r="IF48" i="1"/>
  <c r="VL48" i="1"/>
  <c r="IG48" i="1"/>
  <c r="RN48" i="1"/>
  <c r="PF48" i="1"/>
  <c r="ABQ45" i="1"/>
  <c r="ADX45" i="1"/>
  <c r="ADB45" i="1"/>
  <c r="ADX42" i="1"/>
  <c r="ADB42" i="1"/>
  <c r="ABQ42" i="1"/>
  <c r="ADX40" i="1"/>
  <c r="ADB40" i="1"/>
  <c r="ABQ40" i="1"/>
  <c r="KU40" i="1"/>
  <c r="KV40" i="1" s="1"/>
  <c r="DZ40" i="1"/>
  <c r="CU40" i="1"/>
  <c r="FR40" i="1"/>
  <c r="EN40" i="1"/>
  <c r="DK40" i="1"/>
  <c r="FC40" i="1"/>
  <c r="DZ32" i="1"/>
  <c r="DK32" i="1"/>
  <c r="CU32" i="1"/>
  <c r="EN32" i="1"/>
  <c r="FC32" i="1"/>
  <c r="KU32" i="1"/>
  <c r="KV32" i="1" s="1"/>
  <c r="FR32" i="1"/>
  <c r="VL35" i="1"/>
  <c r="IF35" i="1"/>
  <c r="IG35" i="1"/>
  <c r="VL34" i="1"/>
  <c r="IF34" i="1"/>
  <c r="IG34" i="1"/>
  <c r="FC15" i="1"/>
  <c r="CE15" i="1"/>
  <c r="DZ15" i="1"/>
  <c r="FR15" i="1"/>
  <c r="LJ13" i="1"/>
  <c r="CL13" i="1"/>
  <c r="ZL13" i="1"/>
  <c r="ZQ13" i="1"/>
  <c r="ZR13" i="1" s="1"/>
  <c r="XU13" i="1"/>
  <c r="XT13" i="1" s="1"/>
  <c r="WZ13" i="1"/>
  <c r="XB13" i="1" s="1"/>
  <c r="UW13" i="1"/>
  <c r="IG37" i="1"/>
  <c r="VL37" i="1"/>
  <c r="IF37" i="1"/>
  <c r="VL36" i="1"/>
  <c r="IF36" i="1"/>
  <c r="IG36" i="1"/>
  <c r="ADX32" i="1"/>
  <c r="ADB32" i="1"/>
  <c r="ABQ32" i="1"/>
  <c r="ADX22" i="1"/>
  <c r="ABQ22" i="1"/>
  <c r="ADB22" i="1"/>
  <c r="CL20" i="1"/>
  <c r="LJ20" i="1"/>
  <c r="ZL20" i="1"/>
  <c r="ZQ20" i="1"/>
  <c r="ZR20" i="1" s="1"/>
  <c r="KU22" i="1"/>
  <c r="KV22" i="1" s="1"/>
  <c r="KX22" i="1" s="1"/>
  <c r="DK22" i="1"/>
  <c r="CU22" i="1"/>
  <c r="DZ22" i="1"/>
  <c r="SB19" i="1"/>
  <c r="UZ19" i="1"/>
  <c r="SI19" i="1"/>
  <c r="SO19" i="1"/>
  <c r="VL17" i="1"/>
  <c r="IF17" i="1"/>
  <c r="IG17" i="1"/>
  <c r="ADX16" i="1"/>
  <c r="ADB16" i="1"/>
  <c r="ABQ16" i="1"/>
  <c r="ADX18" i="1"/>
  <c r="ADB18" i="1"/>
  <c r="ABQ18" i="1"/>
  <c r="VL25" i="1"/>
  <c r="IG25" i="1"/>
  <c r="IF25" i="1"/>
  <c r="ADX28" i="1"/>
  <c r="ADB28" i="1"/>
  <c r="ABQ28" i="1"/>
  <c r="ADX26" i="1"/>
  <c r="ADB26" i="1"/>
  <c r="ABQ26" i="1"/>
  <c r="DK21" i="1"/>
  <c r="DZ21" i="1"/>
  <c r="KU21" i="1"/>
  <c r="KV21" i="1" s="1"/>
  <c r="CE21" i="1"/>
  <c r="CU21" i="1"/>
  <c r="FR21" i="1"/>
  <c r="FC21" i="1"/>
  <c r="GI21" i="1"/>
  <c r="GJ21" i="1" s="1"/>
  <c r="KU18" i="1"/>
  <c r="KV18" i="1" s="1"/>
  <c r="KX18" i="1" s="1"/>
  <c r="DK18" i="1"/>
  <c r="DZ18" i="1"/>
  <c r="CU18" i="1"/>
  <c r="XU9" i="1"/>
  <c r="XT9" i="1" s="1"/>
  <c r="UW9" i="1"/>
  <c r="DZ9" i="1"/>
  <c r="CU9" i="1"/>
  <c r="KU9" i="1"/>
  <c r="KV9" i="1" s="1"/>
  <c r="KX9" i="1" s="1"/>
  <c r="DK9" i="1"/>
  <c r="ADX19" i="1"/>
  <c r="ABQ19" i="1"/>
  <c r="ADB19" i="1"/>
  <c r="XU18" i="1"/>
  <c r="XT18" i="1" s="1"/>
  <c r="UW18" i="1"/>
  <c r="YZ48" i="1"/>
  <c r="LL48" i="1"/>
  <c r="LK48" i="1"/>
  <c r="PH48" i="1"/>
  <c r="FF60" i="1"/>
  <c r="LJ58" i="1"/>
  <c r="JY55" i="1"/>
  <c r="JZ55" i="1" s="1"/>
  <c r="FY55" i="1"/>
  <c r="FZ55" i="1" s="1"/>
  <c r="DP55" i="1"/>
  <c r="DQ55" i="1" s="1"/>
  <c r="FH55" i="1"/>
  <c r="FI55" i="1" s="1"/>
  <c r="SC34" i="1"/>
  <c r="JR52" i="1"/>
  <c r="JS52" i="1" s="1"/>
  <c r="KO48" i="1"/>
  <c r="FR41" i="1"/>
  <c r="SG50" i="1"/>
  <c r="SG46" i="1"/>
  <c r="KO12" i="1"/>
  <c r="GI20" i="1"/>
  <c r="GJ20" i="1" s="1"/>
  <c r="GL20" i="1" s="1"/>
  <c r="JW51" i="1"/>
  <c r="TC49" i="1"/>
  <c r="ST46" i="1"/>
  <c r="SV46" i="1" s="1"/>
  <c r="RZ45" i="1"/>
  <c r="SA45" i="1" s="1"/>
  <c r="ES52" i="1"/>
  <c r="ET52" i="1" s="1"/>
  <c r="FY52" i="1"/>
  <c r="FZ52" i="1" s="1"/>
  <c r="FW60" i="1"/>
  <c r="EQ60" i="1"/>
  <c r="LA53" i="1"/>
  <c r="GI44" i="1"/>
  <c r="GJ44" i="1" s="1"/>
  <c r="GI33" i="1"/>
  <c r="GJ33" i="1" s="1"/>
  <c r="RZ37" i="1"/>
  <c r="SA37" i="1" s="1"/>
  <c r="CU30" i="1"/>
  <c r="SC30" i="1" s="1"/>
  <c r="SG30" i="1" s="1"/>
  <c r="GI9" i="1"/>
  <c r="GJ9" i="1" s="1"/>
  <c r="GL9" i="1" s="1"/>
  <c r="GI18" i="1"/>
  <c r="GJ18" i="1" s="1"/>
  <c r="GL18" i="1" s="1"/>
  <c r="RZ17" i="1"/>
  <c r="SA17" i="1" s="1"/>
  <c r="GI17" i="1" s="1"/>
  <c r="GJ17" i="1" s="1"/>
  <c r="RZ16" i="1"/>
  <c r="SA16" i="1" s="1"/>
  <c r="FC10" i="1"/>
  <c r="LJ22" i="1"/>
  <c r="FR11" i="1"/>
  <c r="DK11" i="1"/>
  <c r="DZ11" i="1"/>
  <c r="CE11" i="1"/>
  <c r="SB45" i="1"/>
  <c r="UZ45" i="1"/>
  <c r="SI45" i="1"/>
  <c r="SO45" i="1"/>
  <c r="UZ35" i="1"/>
  <c r="SI35" i="1"/>
  <c r="SB35" i="1"/>
  <c r="CU35" i="1" s="1"/>
  <c r="SO35" i="1"/>
  <c r="ZQ50" i="1"/>
  <c r="ZR50" i="1" s="1"/>
  <c r="ZL50" i="1"/>
  <c r="LJ50" i="1"/>
  <c r="CL50" i="1"/>
  <c r="SB42" i="1"/>
  <c r="DK42" i="1" s="1"/>
  <c r="UZ42" i="1"/>
  <c r="SI42" i="1"/>
  <c r="SO42" i="1"/>
  <c r="GL31" i="1"/>
  <c r="GL27" i="1"/>
  <c r="KX30" i="1"/>
  <c r="GL26" i="1"/>
  <c r="EA34" i="1"/>
  <c r="SE34" i="1"/>
  <c r="SH34" i="1"/>
  <c r="SF34" i="1"/>
  <c r="SJ34" i="1" s="1"/>
  <c r="KU14" i="1"/>
  <c r="KV14" i="1" s="1"/>
  <c r="KX14" i="1" s="1"/>
  <c r="DK14" i="1"/>
  <c r="CU14" i="1"/>
  <c r="DZ14" i="1"/>
  <c r="FR14" i="1"/>
  <c r="FC14" i="1"/>
  <c r="CE14" i="1"/>
  <c r="EN14" i="1"/>
  <c r="GL15" i="1"/>
  <c r="SB12" i="1"/>
  <c r="CU12" i="1" s="1"/>
  <c r="UZ12" i="1"/>
  <c r="SI12" i="1"/>
  <c r="LJ9" i="1"/>
  <c r="CL9" i="1"/>
  <c r="UK60" i="1"/>
  <c r="TO60" i="1"/>
  <c r="TE60" i="1"/>
  <c r="UH60" i="1"/>
  <c r="TG60" i="1"/>
  <c r="ADX58" i="1"/>
  <c r="ADB58" i="1"/>
  <c r="ABQ58" i="1"/>
  <c r="UK59" i="1"/>
  <c r="TO59" i="1"/>
  <c r="TE59" i="1"/>
  <c r="UH59" i="1"/>
  <c r="TG59" i="1"/>
  <c r="SR51" i="1"/>
  <c r="JP51" i="1"/>
  <c r="CX51" i="1"/>
  <c r="EB51" i="1"/>
  <c r="JB51" i="1"/>
  <c r="DN51" i="1"/>
  <c r="TA51" i="1"/>
  <c r="KW51" i="1"/>
  <c r="GK51" i="1"/>
  <c r="UH50" i="1"/>
  <c r="TG50" i="1"/>
  <c r="TO50" i="1"/>
  <c r="TE50" i="1"/>
  <c r="UK50" i="1"/>
  <c r="ADX48" i="1"/>
  <c r="ADB48" i="1"/>
  <c r="ABQ48" i="1"/>
  <c r="IG45" i="1"/>
  <c r="VL45" i="1"/>
  <c r="IF45" i="1"/>
  <c r="IG44" i="1"/>
  <c r="VL44" i="1"/>
  <c r="IF44" i="1"/>
  <c r="IG43" i="1"/>
  <c r="VL43" i="1"/>
  <c r="IF43" i="1"/>
  <c r="IG42" i="1"/>
  <c r="VL42" i="1"/>
  <c r="IF42" i="1"/>
  <c r="ST60" i="1"/>
  <c r="SV60" i="1" s="1"/>
  <c r="SN60" i="1"/>
  <c r="IG58" i="1"/>
  <c r="VL58" i="1"/>
  <c r="IF58" i="1"/>
  <c r="PF58" i="1"/>
  <c r="RN58" i="1"/>
  <c r="UH53" i="1"/>
  <c r="TG53" i="1"/>
  <c r="UK53" i="1"/>
  <c r="TO53" i="1"/>
  <c r="TE53" i="1"/>
  <c r="UY53" i="1"/>
  <c r="UL53" i="1"/>
  <c r="ABQ52" i="1"/>
  <c r="ADX52" i="1"/>
  <c r="ADB52" i="1"/>
  <c r="ADX49" i="1"/>
  <c r="ADB49" i="1"/>
  <c r="ABQ49" i="1"/>
  <c r="SR49" i="1"/>
  <c r="EB49" i="1"/>
  <c r="JB49" i="1"/>
  <c r="DN49" i="1"/>
  <c r="JP49" i="1"/>
  <c r="KW49" i="1"/>
  <c r="GK49" i="1"/>
  <c r="TA49" i="1"/>
  <c r="ADX46" i="1"/>
  <c r="ADB46" i="1"/>
  <c r="ABQ46" i="1"/>
  <c r="EW45" i="1"/>
  <c r="KO45" i="1"/>
  <c r="ADX44" i="1"/>
  <c r="ADB44" i="1"/>
  <c r="ABQ44" i="1"/>
  <c r="ADX39" i="1"/>
  <c r="ADB39" i="1"/>
  <c r="ABQ39" i="1"/>
  <c r="FC39" i="1"/>
  <c r="DZ39" i="1"/>
  <c r="KU39" i="1"/>
  <c r="KV39" i="1" s="1"/>
  <c r="FR39" i="1"/>
  <c r="DK39" i="1"/>
  <c r="EN39" i="1"/>
  <c r="CU39" i="1"/>
  <c r="SC39" i="1" s="1"/>
  <c r="DZ38" i="1"/>
  <c r="CU38" i="1"/>
  <c r="DK38" i="1"/>
  <c r="KU38" i="1"/>
  <c r="KV38" i="1" s="1"/>
  <c r="FC38" i="1"/>
  <c r="FR38" i="1"/>
  <c r="EN38" i="1"/>
  <c r="UK55" i="1"/>
  <c r="TO55" i="1"/>
  <c r="TE55" i="1"/>
  <c r="UH55" i="1"/>
  <c r="TG55" i="1"/>
  <c r="UL55" i="1"/>
  <c r="ADX33" i="1"/>
  <c r="ADB33" i="1"/>
  <c r="ABQ33" i="1"/>
  <c r="KU33" i="1"/>
  <c r="KV33" i="1" s="1"/>
  <c r="DZ33" i="1"/>
  <c r="DK33" i="1"/>
  <c r="CU33" i="1"/>
  <c r="ADX36" i="1"/>
  <c r="ADB36" i="1"/>
  <c r="ABQ36" i="1"/>
  <c r="VL31" i="1"/>
  <c r="IF31" i="1"/>
  <c r="IG31" i="1"/>
  <c r="FR26" i="1"/>
  <c r="CU26" i="1"/>
  <c r="DZ26" i="1"/>
  <c r="FC26" i="1"/>
  <c r="EN26" i="1"/>
  <c r="DK26" i="1"/>
  <c r="KU26" i="1"/>
  <c r="KV26" i="1" s="1"/>
  <c r="ADX30" i="1"/>
  <c r="ADB30" i="1"/>
  <c r="ABQ30" i="1"/>
  <c r="YZ19" i="1"/>
  <c r="LK19" i="1"/>
  <c r="LL19" i="1"/>
  <c r="PH19" i="1"/>
  <c r="ADX11" i="1"/>
  <c r="ADB11" i="1"/>
  <c r="ABQ11" i="1"/>
  <c r="IG33" i="1"/>
  <c r="VL33" i="1"/>
  <c r="IF33" i="1"/>
  <c r="ADX38" i="1"/>
  <c r="ADB38" i="1"/>
  <c r="ABQ38" i="1"/>
  <c r="ADX35" i="1"/>
  <c r="ADB35" i="1"/>
  <c r="ABQ35" i="1"/>
  <c r="DZ31" i="1"/>
  <c r="FC31" i="1"/>
  <c r="CU31" i="1"/>
  <c r="EN31" i="1"/>
  <c r="DK31" i="1"/>
  <c r="FR31" i="1"/>
  <c r="KU31" i="1"/>
  <c r="KV31" i="1" s="1"/>
  <c r="ADX24" i="1"/>
  <c r="ADB24" i="1"/>
  <c r="ABQ24" i="1"/>
  <c r="KX10" i="1"/>
  <c r="SH10" i="1"/>
  <c r="SF10" i="1"/>
  <c r="SJ10" i="1" s="1"/>
  <c r="EA10" i="1"/>
  <c r="SE10" i="1"/>
  <c r="EW19" i="1"/>
  <c r="KO19" i="1"/>
  <c r="IF12" i="1"/>
  <c r="VL12" i="1"/>
  <c r="IG12" i="1"/>
  <c r="IF9" i="1"/>
  <c r="VL9" i="1"/>
  <c r="WZ9" i="1" s="1"/>
  <c r="XB9" i="1" s="1"/>
  <c r="IG9" i="1"/>
  <c r="PF9" i="1"/>
  <c r="RN9" i="1"/>
  <c r="EW17" i="1"/>
  <c r="KO17" i="1"/>
  <c r="VL24" i="1"/>
  <c r="IG24" i="1"/>
  <c r="IF24" i="1"/>
  <c r="VL11" i="1"/>
  <c r="IG11" i="1"/>
  <c r="IF11" i="1"/>
  <c r="PF11" i="1"/>
  <c r="RN11" i="1"/>
  <c r="ADX9" i="1"/>
  <c r="ADB9" i="1"/>
  <c r="ABQ9" i="1"/>
  <c r="KX15" i="1"/>
  <c r="KY53" i="1"/>
  <c r="KZ53" i="1" s="1"/>
  <c r="GL34" i="1"/>
  <c r="UZ36" i="1"/>
  <c r="SI36" i="1"/>
  <c r="SB36" i="1"/>
  <c r="KU36" i="1" s="1"/>
  <c r="KV36" i="1" s="1"/>
  <c r="SO36" i="1"/>
  <c r="SB28" i="1"/>
  <c r="DZ28" i="1" s="1"/>
  <c r="UZ28" i="1"/>
  <c r="SI28" i="1"/>
  <c r="SO28" i="1"/>
  <c r="DZ13" i="1"/>
  <c r="DK13" i="1"/>
  <c r="CU13" i="1"/>
  <c r="FR13" i="1"/>
  <c r="FC13" i="1"/>
  <c r="EN13" i="1"/>
  <c r="KU13" i="1"/>
  <c r="KV13" i="1" s="1"/>
  <c r="KX13" i="1" s="1"/>
  <c r="CE13" i="1"/>
  <c r="SC13" i="1" s="1"/>
  <c r="UY58" i="1"/>
  <c r="UL58" i="1"/>
  <c r="ST57" i="1"/>
  <c r="SV57" i="1" s="1"/>
  <c r="SN57" i="1"/>
  <c r="SR57" i="1"/>
  <c r="EB57" i="1"/>
  <c r="EQ57" i="1"/>
  <c r="JW57" i="1"/>
  <c r="KW57" i="1"/>
  <c r="GK57" i="1"/>
  <c r="FW57" i="1"/>
  <c r="TA57" i="1"/>
  <c r="FF57" i="1"/>
  <c r="JB57" i="1"/>
  <c r="DN57" i="1"/>
  <c r="JP57" i="1"/>
  <c r="CX57" i="1"/>
  <c r="ABQ56" i="1"/>
  <c r="ADX56" i="1"/>
  <c r="ADB56" i="1"/>
  <c r="SR56" i="1"/>
  <c r="JW56" i="1"/>
  <c r="EB56" i="1"/>
  <c r="KW56" i="1"/>
  <c r="GK56" i="1"/>
  <c r="JP56" i="1"/>
  <c r="FF56" i="1"/>
  <c r="DN56" i="1"/>
  <c r="TA56" i="1"/>
  <c r="FW56" i="1"/>
  <c r="EQ56" i="1"/>
  <c r="JB56" i="1"/>
  <c r="UK54" i="1"/>
  <c r="TO54" i="1"/>
  <c r="TE54" i="1"/>
  <c r="UH54" i="1"/>
  <c r="TG54" i="1"/>
  <c r="UH52" i="1"/>
  <c r="TG52" i="1"/>
  <c r="UK52" i="1"/>
  <c r="TO52" i="1"/>
  <c r="TE52" i="1"/>
  <c r="SR50" i="1"/>
  <c r="TA50" i="1"/>
  <c r="IG49" i="1"/>
  <c r="VL49" i="1"/>
  <c r="IF49" i="1"/>
  <c r="VL46" i="1"/>
  <c r="IG46" i="1"/>
  <c r="IF46" i="1"/>
  <c r="FR43" i="1"/>
  <c r="DZ43" i="1"/>
  <c r="DK43" i="1"/>
  <c r="KU43" i="1"/>
  <c r="KV43" i="1" s="1"/>
  <c r="CU43" i="1"/>
  <c r="EN43" i="1"/>
  <c r="FC43" i="1"/>
  <c r="PO14" i="1"/>
  <c r="VR14" i="1"/>
  <c r="PN14" i="1"/>
  <c r="WJ14" i="1"/>
  <c r="RR14" i="1"/>
  <c r="RS14" i="1" s="1"/>
  <c r="UR14" i="1"/>
  <c r="SQ47" i="1"/>
  <c r="LA47" i="1"/>
  <c r="CK47" i="1"/>
  <c r="ADX60" i="1"/>
  <c r="ADB60" i="1"/>
  <c r="ABQ60" i="1"/>
  <c r="XU59" i="1"/>
  <c r="XT59" i="1" s="1"/>
  <c r="WZ59" i="1"/>
  <c r="XB59" i="1" s="1"/>
  <c r="UW59" i="1"/>
  <c r="ST59" i="1"/>
  <c r="SV59" i="1" s="1"/>
  <c r="SN59" i="1"/>
  <c r="XU58" i="1"/>
  <c r="XT58" i="1" s="1"/>
  <c r="WZ58" i="1"/>
  <c r="XB58" i="1" s="1"/>
  <c r="UW58" i="1"/>
  <c r="ADX59" i="1"/>
  <c r="ADB59" i="1"/>
  <c r="ABQ59" i="1"/>
  <c r="SR54" i="1"/>
  <c r="DN54" i="1"/>
  <c r="JB54" i="1"/>
  <c r="GK54" i="1"/>
  <c r="JP54" i="1"/>
  <c r="EB54" i="1"/>
  <c r="KW54" i="1"/>
  <c r="TA54" i="1"/>
  <c r="ADX43" i="1"/>
  <c r="ADB43" i="1"/>
  <c r="ABQ43" i="1"/>
  <c r="SN34" i="1"/>
  <c r="VL32" i="1"/>
  <c r="IF32" i="1"/>
  <c r="IG32" i="1"/>
  <c r="IF28" i="1"/>
  <c r="VL28" i="1"/>
  <c r="IG28" i="1"/>
  <c r="IG20" i="1"/>
  <c r="IF20" i="1"/>
  <c r="VL20" i="1"/>
  <c r="RN20" i="1"/>
  <c r="PF20" i="1"/>
  <c r="PM13" i="1"/>
  <c r="PT13" i="1" s="1"/>
  <c r="PG13" i="1"/>
  <c r="IF22" i="1"/>
  <c r="VL22" i="1"/>
  <c r="WZ22" i="1" s="1"/>
  <c r="XB22" i="1" s="1"/>
  <c r="IG22" i="1"/>
  <c r="PF22" i="1"/>
  <c r="RN22" i="1"/>
  <c r="ZL19" i="1"/>
  <c r="ZQ19" i="1"/>
  <c r="ZR19" i="1" s="1"/>
  <c r="XU19" i="1"/>
  <c r="XT19" i="1" s="1"/>
  <c r="UW19" i="1"/>
  <c r="ABQ31" i="1"/>
  <c r="ADX31" i="1"/>
  <c r="ADB31" i="1"/>
  <c r="CL11" i="1"/>
  <c r="LJ11" i="1"/>
  <c r="ZQ11" i="1"/>
  <c r="ZR11" i="1" s="1"/>
  <c r="ZL11" i="1"/>
  <c r="XU11" i="1"/>
  <c r="XT11" i="1" s="1"/>
  <c r="WZ11" i="1"/>
  <c r="XB11" i="1" s="1"/>
  <c r="UW11" i="1"/>
  <c r="XU20" i="1"/>
  <c r="XT20" i="1" s="1"/>
  <c r="WZ20" i="1"/>
  <c r="XB20" i="1" s="1"/>
  <c r="UW20" i="1"/>
  <c r="RZ19" i="1"/>
  <c r="SA19" i="1" s="1"/>
  <c r="EN19" i="1" s="1"/>
  <c r="IG19" i="1"/>
  <c r="VL19" i="1"/>
  <c r="IF19" i="1"/>
  <c r="PF19" i="1"/>
  <c r="RN19" i="1"/>
  <c r="ADX17" i="1"/>
  <c r="ADB17" i="1"/>
  <c r="ABQ17" i="1"/>
  <c r="VL16" i="1"/>
  <c r="IF16" i="1"/>
  <c r="IG16" i="1"/>
  <c r="IG30" i="1"/>
  <c r="VL30" i="1"/>
  <c r="IF30" i="1"/>
  <c r="VL23" i="1"/>
  <c r="IF23" i="1"/>
  <c r="IG23" i="1"/>
  <c r="YN29" i="1"/>
  <c r="XS29" i="1"/>
  <c r="VL18" i="1"/>
  <c r="IG18" i="1"/>
  <c r="IF18" i="1"/>
  <c r="RN18" i="1"/>
  <c r="PF18" i="1"/>
  <c r="ED53" i="1"/>
  <c r="EE53" i="1" s="1"/>
  <c r="GM52" i="1"/>
  <c r="GN52" i="1" s="1"/>
  <c r="ED55" i="1"/>
  <c r="EE55" i="1" s="1"/>
  <c r="GI14" i="1"/>
  <c r="GJ14" i="1" s="1"/>
  <c r="GL14" i="1" s="1"/>
  <c r="CE41" i="1"/>
  <c r="CI60" i="1"/>
  <c r="JW60" i="1"/>
  <c r="CX60" i="1"/>
  <c r="LJ59" i="1"/>
  <c r="GI42" i="1"/>
  <c r="GJ42" i="1" s="1"/>
  <c r="JR55" i="1"/>
  <c r="JS55" i="1" s="1"/>
  <c r="JD55" i="1"/>
  <c r="JE55" i="1" s="1"/>
  <c r="GM55" i="1"/>
  <c r="GN55" i="1" s="1"/>
  <c r="CZ55" i="1"/>
  <c r="DA55" i="1" s="1"/>
  <c r="ES55" i="1"/>
  <c r="ET55" i="1" s="1"/>
  <c r="FC27" i="1"/>
  <c r="GI36" i="1"/>
  <c r="GJ36" i="1" s="1"/>
  <c r="EN29" i="1"/>
  <c r="GI28" i="1"/>
  <c r="GJ28" i="1" s="1"/>
  <c r="SC10" i="1"/>
  <c r="SG10" i="1" s="1"/>
  <c r="GI19" i="1"/>
  <c r="GJ19" i="1" s="1"/>
  <c r="GL19" i="1" s="1"/>
  <c r="RZ25" i="1"/>
  <c r="SA25" i="1" s="1"/>
  <c r="CE24" i="1"/>
  <c r="SC24" i="1" s="1"/>
  <c r="FY53" i="1"/>
  <c r="FZ53" i="1" s="1"/>
  <c r="ED47" i="1"/>
  <c r="EE47" i="1" s="1"/>
  <c r="KO42" i="1"/>
  <c r="FC41" i="1"/>
  <c r="JR53" i="1"/>
  <c r="JS53" i="1" s="1"/>
  <c r="FC33" i="1"/>
  <c r="GI38" i="1"/>
  <c r="GJ38" i="1" s="1"/>
  <c r="FC28" i="1"/>
  <c r="SO12" i="1"/>
  <c r="GI23" i="1"/>
  <c r="GJ23" i="1" s="1"/>
  <c r="TC51" i="1"/>
  <c r="FW49" i="1"/>
  <c r="EB46" i="1"/>
  <c r="CE44" i="1"/>
  <c r="GI41" i="1"/>
  <c r="GJ41" i="1" s="1"/>
  <c r="CE35" i="1"/>
  <c r="CZ52" i="1"/>
  <c r="DA52" i="1" s="1"/>
  <c r="DP52" i="1"/>
  <c r="DQ52" i="1" s="1"/>
  <c r="FH52" i="1"/>
  <c r="FI52" i="1" s="1"/>
  <c r="FY47" i="1"/>
  <c r="FZ47" i="1" s="1"/>
  <c r="JD47" i="1"/>
  <c r="JE47" i="1" s="1"/>
  <c r="GM47" i="1"/>
  <c r="GN47" i="1" s="1"/>
  <c r="DP47" i="1"/>
  <c r="DQ47" i="1" s="1"/>
  <c r="FH47" i="1"/>
  <c r="FI47" i="1" s="1"/>
  <c r="TC57" i="1"/>
  <c r="TC56" i="1"/>
  <c r="FW54" i="1"/>
  <c r="DP53" i="1"/>
  <c r="DQ53" i="1" s="1"/>
  <c r="SQ53" i="1"/>
  <c r="SS53" i="1" s="1"/>
  <c r="CX49" i="1"/>
  <c r="TC48" i="1"/>
  <c r="CE40" i="1"/>
  <c r="SC40" i="1" s="1"/>
  <c r="CE32" i="1"/>
  <c r="SC32" i="1" s="1"/>
  <c r="CE22" i="1"/>
  <c r="EN21" i="1"/>
  <c r="CE18" i="1"/>
  <c r="CE12" i="1"/>
  <c r="GI12" i="1"/>
  <c r="GJ12" i="1" s="1"/>
  <c r="CE9" i="1"/>
  <c r="GI22" i="1"/>
  <c r="GJ22" i="1" s="1"/>
  <c r="GL22" i="1" s="1"/>
  <c r="LJ18" i="1"/>
  <c r="KO54" i="1"/>
  <c r="KU11" i="1"/>
  <c r="KV11" i="1" s="1"/>
  <c r="KX11" i="1" s="1"/>
  <c r="EN11" i="1"/>
  <c r="FC11" i="1"/>
  <c r="SC43" i="1" l="1"/>
  <c r="LA57" i="1"/>
  <c r="SC26" i="1"/>
  <c r="SC38" i="1"/>
  <c r="SC13" i="2"/>
  <c r="SQ56" i="1"/>
  <c r="SC31" i="1"/>
  <c r="SC14" i="2"/>
  <c r="GL11" i="2"/>
  <c r="KX14" i="2"/>
  <c r="SH14" i="2"/>
  <c r="SF14" i="2"/>
  <c r="SJ14" i="2" s="1"/>
  <c r="EA14" i="2"/>
  <c r="SE14" i="2"/>
  <c r="YN12" i="2"/>
  <c r="XS12" i="2"/>
  <c r="KX11" i="2"/>
  <c r="EA13" i="2"/>
  <c r="SH13" i="2"/>
  <c r="SF13" i="2"/>
  <c r="SJ13" i="2" s="1"/>
  <c r="SE13" i="2"/>
  <c r="YN10" i="2"/>
  <c r="XS10" i="2"/>
  <c r="YN14" i="2"/>
  <c r="XS14" i="2"/>
  <c r="KX12" i="2"/>
  <c r="EN10" i="2"/>
  <c r="CE10" i="2"/>
  <c r="KU10" i="2"/>
  <c r="KV10" i="2" s="1"/>
  <c r="DZ10" i="2"/>
  <c r="GL10" i="2"/>
  <c r="GL13" i="2"/>
  <c r="YN11" i="2"/>
  <c r="XS11" i="2"/>
  <c r="YN13" i="2"/>
  <c r="XS13" i="2"/>
  <c r="EA11" i="2"/>
  <c r="SH11" i="2"/>
  <c r="SF11" i="2"/>
  <c r="SJ11" i="2" s="1"/>
  <c r="SE11" i="2"/>
  <c r="KX13" i="2"/>
  <c r="GL12" i="2"/>
  <c r="EA12" i="2"/>
  <c r="SH12" i="2"/>
  <c r="SF12" i="2"/>
  <c r="SJ12" i="2" s="1"/>
  <c r="SE12" i="2"/>
  <c r="SC11" i="2"/>
  <c r="SG11" i="2" s="1"/>
  <c r="SC12" i="2"/>
  <c r="SG12" i="2" s="1"/>
  <c r="FR10" i="2"/>
  <c r="FC10" i="2"/>
  <c r="DK10" i="2"/>
  <c r="SS56" i="1"/>
  <c r="RN56" i="1"/>
  <c r="GL17" i="1"/>
  <c r="UX57" i="1"/>
  <c r="LH57" i="1"/>
  <c r="LI57" i="1" s="1"/>
  <c r="LB57" i="1"/>
  <c r="LC57" i="1"/>
  <c r="PF57" i="1"/>
  <c r="CK57" i="1"/>
  <c r="EA28" i="1"/>
  <c r="KX36" i="1"/>
  <c r="PM52" i="1"/>
  <c r="PT52" i="1" s="1"/>
  <c r="PG52" i="1"/>
  <c r="LK18" i="1"/>
  <c r="YZ18" i="1"/>
  <c r="LL18" i="1"/>
  <c r="PH18" i="1"/>
  <c r="UK48" i="1"/>
  <c r="TO48" i="1"/>
  <c r="TE48" i="1"/>
  <c r="UH48" i="1"/>
  <c r="TG48" i="1"/>
  <c r="UL48" i="1"/>
  <c r="UH57" i="1"/>
  <c r="TG57" i="1"/>
  <c r="UK57" i="1"/>
  <c r="TO57" i="1"/>
  <c r="TE57" i="1"/>
  <c r="GL41" i="1"/>
  <c r="UH51" i="1"/>
  <c r="TG51" i="1"/>
  <c r="UK51" i="1"/>
  <c r="TO51" i="1"/>
  <c r="TE51" i="1"/>
  <c r="GL38" i="1"/>
  <c r="KU25" i="1"/>
  <c r="KV25" i="1" s="1"/>
  <c r="DK25" i="1"/>
  <c r="DZ25" i="1"/>
  <c r="CU25" i="1"/>
  <c r="EN25" i="1"/>
  <c r="FR25" i="1"/>
  <c r="CE25" i="1"/>
  <c r="FC25" i="1"/>
  <c r="GL42" i="1"/>
  <c r="YZ59" i="1"/>
  <c r="LL59" i="1"/>
  <c r="LK59" i="1"/>
  <c r="PH59" i="1"/>
  <c r="YN30" i="1"/>
  <c r="XS30" i="1"/>
  <c r="PU13" i="1"/>
  <c r="PZ13" i="1"/>
  <c r="PG20" i="1"/>
  <c r="PM20" i="1"/>
  <c r="YN28" i="1"/>
  <c r="XS28" i="1"/>
  <c r="UY34" i="1"/>
  <c r="LC47" i="1"/>
  <c r="UX47" i="1"/>
  <c r="LH47" i="1"/>
  <c r="LI47" i="1" s="1"/>
  <c r="LB47" i="1"/>
  <c r="PF47" i="1"/>
  <c r="YN46" i="1"/>
  <c r="XS46" i="1"/>
  <c r="UY57" i="1"/>
  <c r="UL57" i="1"/>
  <c r="YN11" i="1"/>
  <c r="XS11" i="1"/>
  <c r="YN24" i="1"/>
  <c r="XS24" i="1"/>
  <c r="EC10" i="1"/>
  <c r="ST10" i="1" s="1"/>
  <c r="SV10" i="1" s="1"/>
  <c r="SP10" i="1"/>
  <c r="SN10" i="1"/>
  <c r="KX31" i="1"/>
  <c r="EA31" i="1"/>
  <c r="SH31" i="1"/>
  <c r="SF31" i="1"/>
  <c r="SJ31" i="1" s="1"/>
  <c r="SE31" i="1"/>
  <c r="PP19" i="1"/>
  <c r="PI19" i="1"/>
  <c r="KX33" i="1"/>
  <c r="EA38" i="1"/>
  <c r="SH38" i="1"/>
  <c r="SF38" i="1"/>
  <c r="SJ38" i="1" s="1"/>
  <c r="SE38" i="1"/>
  <c r="SH39" i="1"/>
  <c r="SF39" i="1"/>
  <c r="SJ39" i="1" s="1"/>
  <c r="EA39" i="1"/>
  <c r="SE39" i="1"/>
  <c r="YN58" i="1"/>
  <c r="XS58" i="1"/>
  <c r="UY60" i="1"/>
  <c r="UL60" i="1"/>
  <c r="YN42" i="1"/>
  <c r="XS42" i="1"/>
  <c r="YN43" i="1"/>
  <c r="XS43" i="1"/>
  <c r="YN44" i="1"/>
  <c r="XS44" i="1"/>
  <c r="YN45" i="1"/>
  <c r="XS45" i="1"/>
  <c r="YZ9" i="1"/>
  <c r="LL9" i="1"/>
  <c r="LK9" i="1"/>
  <c r="PH9" i="1"/>
  <c r="SH14" i="1"/>
  <c r="SF14" i="1"/>
  <c r="SJ14" i="1" s="1"/>
  <c r="EA14" i="1"/>
  <c r="SE14" i="1"/>
  <c r="YZ22" i="1"/>
  <c r="LL22" i="1"/>
  <c r="LK22" i="1"/>
  <c r="PH22" i="1"/>
  <c r="KU16" i="1"/>
  <c r="KV16" i="1" s="1"/>
  <c r="CU16" i="1"/>
  <c r="DZ16" i="1"/>
  <c r="DK16" i="1"/>
  <c r="CE16" i="1"/>
  <c r="FC16" i="1"/>
  <c r="FR16" i="1"/>
  <c r="EN16" i="1"/>
  <c r="KU37" i="1"/>
  <c r="KV37" i="1" s="1"/>
  <c r="CU37" i="1"/>
  <c r="DZ37" i="1"/>
  <c r="DK37" i="1"/>
  <c r="CE37" i="1"/>
  <c r="FC37" i="1"/>
  <c r="FR37" i="1"/>
  <c r="EN37" i="1"/>
  <c r="UX53" i="1"/>
  <c r="LC53" i="1"/>
  <c r="LH53" i="1"/>
  <c r="LI53" i="1" s="1"/>
  <c r="LB53" i="1"/>
  <c r="FH53" i="1"/>
  <c r="FI53" i="1" s="1"/>
  <c r="CK53" i="1"/>
  <c r="JD53" i="1"/>
  <c r="JE53" i="1" s="1"/>
  <c r="PP48" i="1"/>
  <c r="PI48" i="1"/>
  <c r="YY48" i="1"/>
  <c r="EA9" i="1"/>
  <c r="SE9" i="1"/>
  <c r="SF9" i="1"/>
  <c r="SJ9" i="1" s="1"/>
  <c r="SH9" i="1"/>
  <c r="GL21" i="1"/>
  <c r="SH21" i="1"/>
  <c r="SF21" i="1"/>
  <c r="SJ21" i="1" s="1"/>
  <c r="EA21" i="1"/>
  <c r="SE21" i="1"/>
  <c r="EA22" i="1"/>
  <c r="SH22" i="1"/>
  <c r="SE22" i="1"/>
  <c r="SF22" i="1"/>
  <c r="SJ22" i="1" s="1"/>
  <c r="YZ20" i="1"/>
  <c r="LK20" i="1"/>
  <c r="LL20" i="1"/>
  <c r="PH20" i="1"/>
  <c r="YN37" i="1"/>
  <c r="XS37" i="1"/>
  <c r="YZ13" i="1"/>
  <c r="LL13" i="1"/>
  <c r="LK13" i="1"/>
  <c r="PH13" i="1"/>
  <c r="EA15" i="1"/>
  <c r="SF15" i="1"/>
  <c r="SJ15" i="1" s="1"/>
  <c r="SE15" i="1"/>
  <c r="SH15" i="1"/>
  <c r="YN34" i="1"/>
  <c r="XS34" i="1"/>
  <c r="YN35" i="1"/>
  <c r="XS35" i="1"/>
  <c r="KX32" i="1"/>
  <c r="KX40" i="1"/>
  <c r="PG48" i="1"/>
  <c r="PM48" i="1"/>
  <c r="YN48" i="1"/>
  <c r="XS48" i="1"/>
  <c r="UY54" i="1"/>
  <c r="UL54" i="1"/>
  <c r="VS14" i="1"/>
  <c r="QA14" i="1"/>
  <c r="QB14" i="1"/>
  <c r="YN40" i="1"/>
  <c r="XS40" i="1"/>
  <c r="KX44" i="1"/>
  <c r="SQ46" i="1"/>
  <c r="LA46" i="1"/>
  <c r="CK46" i="1"/>
  <c r="KY46" i="1"/>
  <c r="KZ46" i="1" s="1"/>
  <c r="UY50" i="1"/>
  <c r="UL50" i="1"/>
  <c r="KX24" i="1"/>
  <c r="SH29" i="1"/>
  <c r="SF29" i="1"/>
  <c r="SJ29" i="1" s="1"/>
  <c r="EA29" i="1"/>
  <c r="SE29" i="1"/>
  <c r="EA27" i="1"/>
  <c r="SH27" i="1"/>
  <c r="SF27" i="1"/>
  <c r="SJ27" i="1" s="1"/>
  <c r="SE27" i="1"/>
  <c r="KX27" i="1"/>
  <c r="YN38" i="1"/>
  <c r="XS38" i="1"/>
  <c r="LC55" i="1"/>
  <c r="UX55" i="1"/>
  <c r="LH55" i="1"/>
  <c r="LI55" i="1" s="1"/>
  <c r="LB55" i="1"/>
  <c r="PF55" i="1"/>
  <c r="YN41" i="1"/>
  <c r="XS41" i="1"/>
  <c r="UY49" i="1"/>
  <c r="UL49" i="1"/>
  <c r="YN53" i="1"/>
  <c r="XS53" i="1"/>
  <c r="AAQ14" i="1"/>
  <c r="LM14" i="1"/>
  <c r="PJ14" i="1"/>
  <c r="PG50" i="1"/>
  <c r="PM50" i="1"/>
  <c r="YN50" i="1"/>
  <c r="XS50" i="1"/>
  <c r="FC9" i="1"/>
  <c r="FR9" i="1"/>
  <c r="EN9" i="1"/>
  <c r="EN18" i="1"/>
  <c r="FC18" i="1"/>
  <c r="FR18" i="1"/>
  <c r="SH20" i="1"/>
  <c r="SF20" i="1"/>
  <c r="SJ20" i="1" s="1"/>
  <c r="EA20" i="1"/>
  <c r="SE20" i="1"/>
  <c r="FC22" i="1"/>
  <c r="EN22" i="1"/>
  <c r="FR22" i="1"/>
  <c r="FR44" i="1"/>
  <c r="EN44" i="1"/>
  <c r="FC44" i="1"/>
  <c r="EC30" i="1"/>
  <c r="ST30" i="1" s="1"/>
  <c r="SV30" i="1" s="1"/>
  <c r="SP30" i="1"/>
  <c r="EB30" i="1" s="1"/>
  <c r="SN30" i="1"/>
  <c r="SC9" i="1"/>
  <c r="SG9" i="1" s="1"/>
  <c r="ED46" i="1"/>
  <c r="EE46" i="1" s="1"/>
  <c r="VW14" i="1"/>
  <c r="JR57" i="1"/>
  <c r="JS57" i="1" s="1"/>
  <c r="JD57" i="1"/>
  <c r="JE57" i="1" s="1"/>
  <c r="GM57" i="1"/>
  <c r="GN57" i="1" s="1"/>
  <c r="JY57" i="1"/>
  <c r="JZ57" i="1" s="1"/>
  <c r="ED57" i="1"/>
  <c r="EE57" i="1" s="1"/>
  <c r="KU28" i="1"/>
  <c r="KV28" i="1" s="1"/>
  <c r="DK36" i="1"/>
  <c r="SQ51" i="1"/>
  <c r="SC11" i="1"/>
  <c r="GI16" i="1"/>
  <c r="GJ16" i="1" s="1"/>
  <c r="CZ47" i="1"/>
  <c r="DA47" i="1" s="1"/>
  <c r="JR47" i="1"/>
  <c r="JS47" i="1" s="1"/>
  <c r="GI37" i="1"/>
  <c r="GJ37" i="1" s="1"/>
  <c r="CZ53" i="1"/>
  <c r="DA53" i="1" s="1"/>
  <c r="ES53" i="1"/>
  <c r="ET53" i="1" s="1"/>
  <c r="GI25" i="1"/>
  <c r="GJ25" i="1" s="1"/>
  <c r="JY53" i="1"/>
  <c r="JZ53" i="1" s="1"/>
  <c r="WZ18" i="1"/>
  <c r="XB18" i="1" s="1"/>
  <c r="DK12" i="1"/>
  <c r="SC21" i="1"/>
  <c r="SG21" i="1" s="1"/>
  <c r="QG14" i="1"/>
  <c r="DZ35" i="1"/>
  <c r="JR46" i="1"/>
  <c r="JS46" i="1" s="1"/>
  <c r="DP46" i="1"/>
  <c r="DQ46" i="1" s="1"/>
  <c r="SC23" i="1"/>
  <c r="SQ49" i="1"/>
  <c r="PF53" i="1"/>
  <c r="DZ41" i="1"/>
  <c r="DK41" i="1"/>
  <c r="SC20" i="1"/>
  <c r="SG20" i="1" s="1"/>
  <c r="EN42" i="1"/>
  <c r="CE42" i="1"/>
  <c r="CU42" i="1"/>
  <c r="DZ42" i="1"/>
  <c r="GL12" i="1"/>
  <c r="UH56" i="1"/>
  <c r="TG56" i="1"/>
  <c r="UK56" i="1"/>
  <c r="TO56" i="1"/>
  <c r="TE56" i="1"/>
  <c r="GL23" i="1"/>
  <c r="ZL47" i="1"/>
  <c r="ZQ47" i="1"/>
  <c r="ZR47" i="1" s="1"/>
  <c r="GL28" i="1"/>
  <c r="GL36" i="1"/>
  <c r="SQ60" i="1"/>
  <c r="LA60" i="1"/>
  <c r="GM60" i="1" s="1"/>
  <c r="GN60" i="1" s="1"/>
  <c r="ZL55" i="1"/>
  <c r="ZQ55" i="1"/>
  <c r="ZR55" i="1" s="1"/>
  <c r="ZQ53" i="1"/>
  <c r="ZR53" i="1" s="1"/>
  <c r="ZL53" i="1"/>
  <c r="PG18" i="1"/>
  <c r="PM18" i="1"/>
  <c r="YN18" i="1"/>
  <c r="XS18" i="1"/>
  <c r="YN23" i="1"/>
  <c r="XS23" i="1"/>
  <c r="YN16" i="1"/>
  <c r="XS16" i="1"/>
  <c r="PG19" i="1"/>
  <c r="PM19" i="1"/>
  <c r="YN19" i="1"/>
  <c r="XS19" i="1"/>
  <c r="CU19" i="1"/>
  <c r="DZ19" i="1"/>
  <c r="DK19" i="1"/>
  <c r="CE19" i="1"/>
  <c r="KU19" i="1"/>
  <c r="KV19" i="1" s="1"/>
  <c r="KX19" i="1" s="1"/>
  <c r="FC19" i="1"/>
  <c r="FR19" i="1"/>
  <c r="LK11" i="1"/>
  <c r="YZ11" i="1"/>
  <c r="LL11" i="1"/>
  <c r="PH11" i="1"/>
  <c r="PM22" i="1"/>
  <c r="PT22" i="1"/>
  <c r="PG22" i="1"/>
  <c r="YN22" i="1"/>
  <c r="XS22" i="1"/>
  <c r="PO13" i="1"/>
  <c r="VR13" i="1"/>
  <c r="PN13" i="1"/>
  <c r="WJ13" i="1"/>
  <c r="UR13" i="1"/>
  <c r="RR13" i="1"/>
  <c r="RS13" i="1" s="1"/>
  <c r="YN20" i="1"/>
  <c r="XS20" i="1"/>
  <c r="YN32" i="1"/>
  <c r="XS32" i="1"/>
  <c r="UY59" i="1"/>
  <c r="UL59" i="1"/>
  <c r="CL47" i="1"/>
  <c r="SS47" i="1"/>
  <c r="RN47" i="1"/>
  <c r="KX43" i="1"/>
  <c r="EA43" i="1"/>
  <c r="SH43" i="1"/>
  <c r="SF43" i="1"/>
  <c r="SJ43" i="1" s="1"/>
  <c r="SE43" i="1"/>
  <c r="YN49" i="1"/>
  <c r="XS49" i="1"/>
  <c r="KY57" i="1"/>
  <c r="KZ57" i="1" s="1"/>
  <c r="SH13" i="1"/>
  <c r="SF13" i="1"/>
  <c r="SJ13" i="1" s="1"/>
  <c r="EA13" i="1"/>
  <c r="SE13" i="1"/>
  <c r="EN28" i="1"/>
  <c r="CE28" i="1"/>
  <c r="EN36" i="1"/>
  <c r="CE36" i="1"/>
  <c r="FC36" i="1"/>
  <c r="PG11" i="1"/>
  <c r="PM11" i="1"/>
  <c r="PM9" i="1"/>
  <c r="PT9" i="1" s="1"/>
  <c r="PG9" i="1"/>
  <c r="YN9" i="1"/>
  <c r="XS9" i="1"/>
  <c r="YN12" i="1"/>
  <c r="XS12" i="1"/>
  <c r="YN33" i="1"/>
  <c r="XS33" i="1"/>
  <c r="LM19" i="1"/>
  <c r="AAQ19" i="1"/>
  <c r="PJ19" i="1"/>
  <c r="YY19" i="1"/>
  <c r="KX26" i="1"/>
  <c r="SH26" i="1"/>
  <c r="SF26" i="1"/>
  <c r="SJ26" i="1" s="1"/>
  <c r="EA26" i="1"/>
  <c r="SE26" i="1"/>
  <c r="YN31" i="1"/>
  <c r="XS31" i="1"/>
  <c r="EA33" i="1"/>
  <c r="SH33" i="1"/>
  <c r="SF33" i="1"/>
  <c r="SJ33" i="1" s="1"/>
  <c r="SE33" i="1"/>
  <c r="KX38" i="1"/>
  <c r="KX39" i="1"/>
  <c r="PM58" i="1"/>
  <c r="PT58" i="1" s="1"/>
  <c r="PG58" i="1"/>
  <c r="EN12" i="1"/>
  <c r="FC12" i="1"/>
  <c r="FR12" i="1"/>
  <c r="EC34" i="1"/>
  <c r="ST34" i="1" s="1"/>
  <c r="SV34" i="1" s="1"/>
  <c r="SP34" i="1"/>
  <c r="YZ50" i="1"/>
  <c r="LK50" i="1"/>
  <c r="LL50" i="1"/>
  <c r="PH50" i="1"/>
  <c r="EN35" i="1"/>
  <c r="FC35" i="1"/>
  <c r="FR35" i="1"/>
  <c r="EA11" i="1"/>
  <c r="SH11" i="1"/>
  <c r="SE11" i="1"/>
  <c r="SF11" i="1"/>
  <c r="SJ11" i="1" s="1"/>
  <c r="CU17" i="1"/>
  <c r="DZ17" i="1"/>
  <c r="KU17" i="1"/>
  <c r="KV17" i="1" s="1"/>
  <c r="DK17" i="1"/>
  <c r="CE17" i="1"/>
  <c r="FC17" i="1"/>
  <c r="EN17" i="1"/>
  <c r="FR17" i="1"/>
  <c r="GL33" i="1"/>
  <c r="GL44" i="1"/>
  <c r="CU45" i="1"/>
  <c r="DZ45" i="1"/>
  <c r="KU45" i="1"/>
  <c r="KV45" i="1" s="1"/>
  <c r="DK45" i="1"/>
  <c r="CE45" i="1"/>
  <c r="EN45" i="1"/>
  <c r="FR45" i="1"/>
  <c r="FC45" i="1"/>
  <c r="UK49" i="1"/>
  <c r="TO49" i="1"/>
  <c r="TE49" i="1"/>
  <c r="UH49" i="1"/>
  <c r="TG49" i="1"/>
  <c r="YZ58" i="1"/>
  <c r="LK58" i="1"/>
  <c r="LL58" i="1"/>
  <c r="PH58" i="1"/>
  <c r="AAQ48" i="1"/>
  <c r="LM48" i="1"/>
  <c r="PJ48" i="1"/>
  <c r="EA18" i="1"/>
  <c r="SF18" i="1"/>
  <c r="SJ18" i="1" s="1"/>
  <c r="SH18" i="1"/>
  <c r="SE18" i="1"/>
  <c r="KX21" i="1"/>
  <c r="YN25" i="1"/>
  <c r="XS25" i="1"/>
  <c r="YN17" i="1"/>
  <c r="XS17" i="1"/>
  <c r="YN36" i="1"/>
  <c r="XS36" i="1"/>
  <c r="EA32" i="1"/>
  <c r="SH32" i="1"/>
  <c r="SF32" i="1"/>
  <c r="SJ32" i="1" s="1"/>
  <c r="SE32" i="1"/>
  <c r="EA40" i="1"/>
  <c r="SH40" i="1"/>
  <c r="SF40" i="1"/>
  <c r="SJ40" i="1" s="1"/>
  <c r="SE40" i="1"/>
  <c r="YN56" i="1"/>
  <c r="XS56" i="1"/>
  <c r="YN57" i="1"/>
  <c r="XS57" i="1"/>
  <c r="UX52" i="1"/>
  <c r="LH52" i="1"/>
  <c r="LI52" i="1" s="1"/>
  <c r="LB52" i="1"/>
  <c r="LC52" i="1"/>
  <c r="ED52" i="1"/>
  <c r="EE52" i="1" s="1"/>
  <c r="JD52" i="1"/>
  <c r="JE52" i="1" s="1"/>
  <c r="JY52" i="1"/>
  <c r="JZ52" i="1" s="1"/>
  <c r="YN39" i="1"/>
  <c r="XS39" i="1"/>
  <c r="EA44" i="1"/>
  <c r="SF44" i="1"/>
  <c r="SJ44" i="1" s="1"/>
  <c r="SH44" i="1"/>
  <c r="SE44" i="1"/>
  <c r="YN52" i="1"/>
  <c r="XS52" i="1"/>
  <c r="YN54" i="1"/>
  <c r="XS54" i="1"/>
  <c r="YN51" i="1"/>
  <c r="XS51" i="1"/>
  <c r="UY56" i="1"/>
  <c r="UL56" i="1"/>
  <c r="KX23" i="1"/>
  <c r="SH23" i="1"/>
  <c r="SF23" i="1"/>
  <c r="SJ23" i="1" s="1"/>
  <c r="EA23" i="1"/>
  <c r="SE23" i="1"/>
  <c r="CE33" i="1"/>
  <c r="EN33" i="1"/>
  <c r="EA24" i="1"/>
  <c r="SF24" i="1"/>
  <c r="SJ24" i="1" s="1"/>
  <c r="SE24" i="1"/>
  <c r="SH24" i="1"/>
  <c r="YN26" i="1"/>
  <c r="XS26" i="1"/>
  <c r="KX29" i="1"/>
  <c r="CL55" i="1"/>
  <c r="SS55" i="1"/>
  <c r="RN55" i="1"/>
  <c r="KY60" i="1"/>
  <c r="KZ60" i="1" s="1"/>
  <c r="PP14" i="1"/>
  <c r="PV14" i="1"/>
  <c r="PI14" i="1"/>
  <c r="YY14" i="1"/>
  <c r="UY51" i="1"/>
  <c r="UL51" i="1"/>
  <c r="PM59" i="1"/>
  <c r="PT59" i="1"/>
  <c r="PG59" i="1"/>
  <c r="YN59" i="1"/>
  <c r="XS59" i="1"/>
  <c r="YN60" i="1"/>
  <c r="XS60" i="1"/>
  <c r="SC18" i="1"/>
  <c r="SG18" i="1" s="1"/>
  <c r="SC22" i="1"/>
  <c r="SG22" i="1" s="1"/>
  <c r="SG40" i="1"/>
  <c r="SC44" i="1"/>
  <c r="SG44" i="1" s="1"/>
  <c r="SG24" i="1"/>
  <c r="CZ60" i="1"/>
  <c r="DA60" i="1" s="1"/>
  <c r="WZ19" i="1"/>
  <c r="XB19" i="1" s="1"/>
  <c r="LA56" i="1"/>
  <c r="CZ57" i="1"/>
  <c r="DA57" i="1" s="1"/>
  <c r="DP57" i="1"/>
  <c r="DQ57" i="1" s="1"/>
  <c r="FH57" i="1"/>
  <c r="FI57" i="1" s="1"/>
  <c r="FY57" i="1"/>
  <c r="FZ57" i="1" s="1"/>
  <c r="ES57" i="1"/>
  <c r="ET57" i="1" s="1"/>
  <c r="CU28" i="1"/>
  <c r="DK28" i="1"/>
  <c r="DZ36" i="1"/>
  <c r="CU36" i="1"/>
  <c r="LA51" i="1"/>
  <c r="SC14" i="1"/>
  <c r="SG14" i="1" s="1"/>
  <c r="GM53" i="1"/>
  <c r="GN53" i="1" s="1"/>
  <c r="ES60" i="1"/>
  <c r="ET60" i="1" s="1"/>
  <c r="ES47" i="1"/>
  <c r="ET47" i="1" s="1"/>
  <c r="JY47" i="1"/>
  <c r="JZ47" i="1" s="1"/>
  <c r="GI35" i="1"/>
  <c r="GJ35" i="1" s="1"/>
  <c r="SG34" i="1"/>
  <c r="GI45" i="1"/>
  <c r="GJ45" i="1" s="1"/>
  <c r="KU12" i="1"/>
  <c r="KV12" i="1" s="1"/>
  <c r="DZ12" i="1"/>
  <c r="SC15" i="1"/>
  <c r="SG15" i="1" s="1"/>
  <c r="KY47" i="1"/>
  <c r="KZ47" i="1" s="1"/>
  <c r="CK52" i="1"/>
  <c r="KU35" i="1"/>
  <c r="KV35" i="1" s="1"/>
  <c r="DK35" i="1"/>
  <c r="SC35" i="1" s="1"/>
  <c r="JD46" i="1"/>
  <c r="JE46" i="1" s="1"/>
  <c r="GM46" i="1"/>
  <c r="GN46" i="1" s="1"/>
  <c r="ES46" i="1"/>
  <c r="ET46" i="1" s="1"/>
  <c r="FH46" i="1"/>
  <c r="FI46" i="1" s="1"/>
  <c r="CZ46" i="1"/>
  <c r="DA46" i="1" s="1"/>
  <c r="FY46" i="1"/>
  <c r="FZ46" i="1" s="1"/>
  <c r="RN52" i="1"/>
  <c r="SC29" i="1"/>
  <c r="SG29" i="1" s="1"/>
  <c r="SC27" i="1"/>
  <c r="SG27" i="1" s="1"/>
  <c r="KY55" i="1"/>
  <c r="KZ55" i="1" s="1"/>
  <c r="LA49" i="1"/>
  <c r="CZ49" i="1" s="1"/>
  <c r="DA49" i="1" s="1"/>
  <c r="RN53" i="1"/>
  <c r="JD60" i="1"/>
  <c r="JE60" i="1" s="1"/>
  <c r="CU41" i="1"/>
  <c r="SC41" i="1" s="1"/>
  <c r="KU41" i="1"/>
  <c r="KV41" i="1" s="1"/>
  <c r="WZ48" i="1"/>
  <c r="XB48" i="1" s="1"/>
  <c r="KY52" i="1"/>
  <c r="KZ52" i="1" s="1"/>
  <c r="FR28" i="1"/>
  <c r="FR36" i="1"/>
  <c r="FR33" i="1"/>
  <c r="LA54" i="1"/>
  <c r="KY54" i="1" s="1"/>
  <c r="KZ54" i="1" s="1"/>
  <c r="SQ54" i="1"/>
  <c r="SQ57" i="1"/>
  <c r="FC42" i="1"/>
  <c r="FR42" i="1"/>
  <c r="KU42" i="1"/>
  <c r="KV42" i="1" s="1"/>
  <c r="CK60" i="1" l="1"/>
  <c r="SC12" i="1"/>
  <c r="EC12" i="2"/>
  <c r="ST12" i="2" s="1"/>
  <c r="SV12" i="2" s="1"/>
  <c r="SP12" i="2"/>
  <c r="SN12" i="2"/>
  <c r="EC11" i="2"/>
  <c r="ST11" i="2" s="1"/>
  <c r="SV11" i="2" s="1"/>
  <c r="SP11" i="2"/>
  <c r="SN11" i="2"/>
  <c r="KX10" i="2"/>
  <c r="SG14" i="2"/>
  <c r="SH10" i="2"/>
  <c r="SF10" i="2"/>
  <c r="SJ10" i="2" s="1"/>
  <c r="EA10" i="2"/>
  <c r="SE10" i="2"/>
  <c r="EC13" i="2"/>
  <c r="ST13" i="2" s="1"/>
  <c r="SV13" i="2" s="1"/>
  <c r="SP13" i="2"/>
  <c r="SN13" i="2"/>
  <c r="EC14" i="2"/>
  <c r="ST14" i="2" s="1"/>
  <c r="SV14" i="2" s="1"/>
  <c r="SP14" i="2"/>
  <c r="SN14" i="2"/>
  <c r="SC10" i="2"/>
  <c r="SG10" i="2" s="1"/>
  <c r="SG13" i="2"/>
  <c r="KX42" i="1"/>
  <c r="SS54" i="1"/>
  <c r="RN54" i="1"/>
  <c r="KX41" i="1"/>
  <c r="LJ52" i="1"/>
  <c r="CL52" i="1"/>
  <c r="EA12" i="1"/>
  <c r="SF12" i="1"/>
  <c r="SJ12" i="1" s="1"/>
  <c r="SE12" i="1"/>
  <c r="SH12" i="1"/>
  <c r="GL45" i="1"/>
  <c r="GL35" i="1"/>
  <c r="UX51" i="1"/>
  <c r="LC51" i="1"/>
  <c r="LH51" i="1"/>
  <c r="LI51" i="1" s="1"/>
  <c r="LB51" i="1"/>
  <c r="PF51" i="1"/>
  <c r="CK51" i="1"/>
  <c r="ES51" i="1"/>
  <c r="ET51" i="1" s="1"/>
  <c r="FY51" i="1"/>
  <c r="FZ51" i="1" s="1"/>
  <c r="FH51" i="1"/>
  <c r="FI51" i="1" s="1"/>
  <c r="UX56" i="1"/>
  <c r="LC56" i="1"/>
  <c r="LH56" i="1"/>
  <c r="LI56" i="1" s="1"/>
  <c r="LB56" i="1"/>
  <c r="CK56" i="1"/>
  <c r="CZ56" i="1"/>
  <c r="DA56" i="1" s="1"/>
  <c r="PF56" i="1"/>
  <c r="PU59" i="1"/>
  <c r="PZ59" i="1"/>
  <c r="PQ14" i="1"/>
  <c r="ZU14" i="1"/>
  <c r="EC24" i="1"/>
  <c r="ST24" i="1" s="1"/>
  <c r="SV24" i="1" s="1"/>
  <c r="SP24" i="1"/>
  <c r="EB24" i="1" s="1"/>
  <c r="SN24" i="1"/>
  <c r="EC23" i="1"/>
  <c r="ST23" i="1" s="1"/>
  <c r="SV23" i="1" s="1"/>
  <c r="SP23" i="1"/>
  <c r="EB23" i="1" s="1"/>
  <c r="SN23" i="1"/>
  <c r="EC44" i="1"/>
  <c r="ST44" i="1" s="1"/>
  <c r="SV44" i="1" s="1"/>
  <c r="SP44" i="1"/>
  <c r="EB44" i="1" s="1"/>
  <c r="SN44" i="1"/>
  <c r="PR48" i="1"/>
  <c r="PX48" i="1" s="1"/>
  <c r="PK48" i="1"/>
  <c r="AAO48" i="1"/>
  <c r="ADD48" i="1"/>
  <c r="ADC48" i="1" s="1"/>
  <c r="LM58" i="1"/>
  <c r="AAQ58" i="1"/>
  <c r="PJ58" i="1"/>
  <c r="YY58" i="1"/>
  <c r="EA45" i="1"/>
  <c r="SH45" i="1"/>
  <c r="SF45" i="1"/>
  <c r="SJ45" i="1" s="1"/>
  <c r="SE45" i="1"/>
  <c r="SF17" i="1"/>
  <c r="SJ17" i="1" s="1"/>
  <c r="SH17" i="1"/>
  <c r="EA17" i="1"/>
  <c r="SE17" i="1"/>
  <c r="AAQ50" i="1"/>
  <c r="LM50" i="1"/>
  <c r="PJ50" i="1"/>
  <c r="YY50" i="1"/>
  <c r="PU58" i="1"/>
  <c r="PZ58" i="1"/>
  <c r="PR19" i="1"/>
  <c r="PX19" i="1" s="1"/>
  <c r="PK19" i="1"/>
  <c r="PU9" i="1"/>
  <c r="PZ9" i="1"/>
  <c r="VR11" i="1"/>
  <c r="PN11" i="1"/>
  <c r="PO11" i="1"/>
  <c r="PO22" i="1"/>
  <c r="VR22" i="1"/>
  <c r="PN22" i="1"/>
  <c r="AAQ11" i="1"/>
  <c r="LM11" i="1"/>
  <c r="PJ11" i="1"/>
  <c r="SH19" i="1"/>
  <c r="SF19" i="1"/>
  <c r="SJ19" i="1" s="1"/>
  <c r="EA19" i="1"/>
  <c r="SE19" i="1"/>
  <c r="PN19" i="1"/>
  <c r="VR19" i="1"/>
  <c r="PO19" i="1"/>
  <c r="CL60" i="1"/>
  <c r="SS60" i="1"/>
  <c r="RN60" i="1"/>
  <c r="EA42" i="1"/>
  <c r="SH42" i="1"/>
  <c r="SF42" i="1"/>
  <c r="SJ42" i="1" s="1"/>
  <c r="SE42" i="1"/>
  <c r="PG53" i="1"/>
  <c r="PM53" i="1"/>
  <c r="SS49" i="1"/>
  <c r="RN49" i="1"/>
  <c r="WU14" i="1"/>
  <c r="WI14" i="1"/>
  <c r="RC14" i="1"/>
  <c r="RD14" i="1" s="1"/>
  <c r="QI14" i="1"/>
  <c r="WV14" i="1"/>
  <c r="QH14" i="1"/>
  <c r="QJ14" i="1" s="1"/>
  <c r="RV14" i="1" s="1"/>
  <c r="GL25" i="1"/>
  <c r="GL37" i="1"/>
  <c r="GL16" i="1"/>
  <c r="KX28" i="1"/>
  <c r="ZL46" i="1"/>
  <c r="ZQ46" i="1"/>
  <c r="ZR46" i="1" s="1"/>
  <c r="UY30" i="1"/>
  <c r="VR50" i="1"/>
  <c r="PN50" i="1"/>
  <c r="PO50" i="1"/>
  <c r="XU55" i="1"/>
  <c r="XT55" i="1" s="1"/>
  <c r="WZ55" i="1"/>
  <c r="XB55" i="1" s="1"/>
  <c r="UW55" i="1"/>
  <c r="CL46" i="1"/>
  <c r="SS46" i="1"/>
  <c r="RN46" i="1"/>
  <c r="PN48" i="1"/>
  <c r="VR48" i="1"/>
  <c r="PO48" i="1"/>
  <c r="EC15" i="1"/>
  <c r="ST15" i="1" s="1"/>
  <c r="SV15" i="1" s="1"/>
  <c r="SP15" i="1"/>
  <c r="SN15" i="1"/>
  <c r="YY13" i="1"/>
  <c r="LM20" i="1"/>
  <c r="AAQ20" i="1"/>
  <c r="PJ20" i="1"/>
  <c r="YY20" i="1"/>
  <c r="EC22" i="1"/>
  <c r="ST22" i="1" s="1"/>
  <c r="SV22" i="1" s="1"/>
  <c r="SP22" i="1"/>
  <c r="SN22" i="1"/>
  <c r="EC21" i="1"/>
  <c r="ST21" i="1" s="1"/>
  <c r="SV21" i="1" s="1"/>
  <c r="SP21" i="1"/>
  <c r="SN21" i="1"/>
  <c r="EC9" i="1"/>
  <c r="ST9" i="1" s="1"/>
  <c r="SV9" i="1" s="1"/>
  <c r="SP9" i="1"/>
  <c r="SN9" i="1"/>
  <c r="ZU48" i="1"/>
  <c r="PQ48" i="1"/>
  <c r="XU53" i="1"/>
  <c r="XT53" i="1" s="1"/>
  <c r="WZ53" i="1"/>
  <c r="XB53" i="1" s="1"/>
  <c r="UW53" i="1"/>
  <c r="EA37" i="1"/>
  <c r="SF37" i="1"/>
  <c r="SJ37" i="1" s="1"/>
  <c r="SE37" i="1"/>
  <c r="SH37" i="1"/>
  <c r="KX37" i="1"/>
  <c r="SF16" i="1"/>
  <c r="SJ16" i="1" s="1"/>
  <c r="SH16" i="1"/>
  <c r="EA16" i="1"/>
  <c r="SE16" i="1"/>
  <c r="KX16" i="1"/>
  <c r="YY22" i="1"/>
  <c r="EC14" i="1"/>
  <c r="ST14" i="1" s="1"/>
  <c r="SV14" i="1" s="1"/>
  <c r="SP14" i="1"/>
  <c r="SN14" i="1"/>
  <c r="YY9" i="1"/>
  <c r="EC39" i="1"/>
  <c r="ST39" i="1" s="1"/>
  <c r="SV39" i="1" s="1"/>
  <c r="SN39" i="1"/>
  <c r="SP39" i="1"/>
  <c r="EC38" i="1"/>
  <c r="ST38" i="1" s="1"/>
  <c r="SV38" i="1" s="1"/>
  <c r="SP38" i="1"/>
  <c r="SN38" i="1"/>
  <c r="ZU19" i="1"/>
  <c r="PQ19" i="1"/>
  <c r="UY10" i="1"/>
  <c r="PM47" i="1"/>
  <c r="PG47" i="1"/>
  <c r="XU47" i="1"/>
  <c r="XT47" i="1" s="1"/>
  <c r="WZ47" i="1"/>
  <c r="XB47" i="1" s="1"/>
  <c r="UW47" i="1"/>
  <c r="PN20" i="1"/>
  <c r="VR20" i="1"/>
  <c r="PO20" i="1"/>
  <c r="PP59" i="1"/>
  <c r="PV59" i="1" s="1"/>
  <c r="PI59" i="1"/>
  <c r="AAQ59" i="1"/>
  <c r="LM59" i="1"/>
  <c r="PJ59" i="1"/>
  <c r="YY18" i="1"/>
  <c r="PU52" i="1"/>
  <c r="PZ52" i="1"/>
  <c r="LJ57" i="1"/>
  <c r="CL57" i="1"/>
  <c r="XU57" i="1"/>
  <c r="XT57" i="1" s="1"/>
  <c r="WZ57" i="1"/>
  <c r="XB57" i="1" s="1"/>
  <c r="UW57" i="1"/>
  <c r="ED51" i="1"/>
  <c r="EE51" i="1" s="1"/>
  <c r="ED49" i="1"/>
  <c r="EE49" i="1" s="1"/>
  <c r="JR56" i="1"/>
  <c r="JS56" i="1" s="1"/>
  <c r="FY56" i="1"/>
  <c r="FZ56" i="1" s="1"/>
  <c r="DP54" i="1"/>
  <c r="DQ54" i="1" s="1"/>
  <c r="ED54" i="1"/>
  <c r="EE54" i="1" s="1"/>
  <c r="SC33" i="1"/>
  <c r="SG33" i="1" s="1"/>
  <c r="PT11" i="1"/>
  <c r="SC36" i="1"/>
  <c r="SC28" i="1"/>
  <c r="KY56" i="1"/>
  <c r="KZ56" i="1" s="1"/>
  <c r="LJ47" i="1"/>
  <c r="SC19" i="1"/>
  <c r="SG19" i="1" s="1"/>
  <c r="PT19" i="1"/>
  <c r="SC42" i="1"/>
  <c r="SG42" i="1" s="1"/>
  <c r="DP60" i="1"/>
  <c r="DQ60" i="1" s="1"/>
  <c r="CZ51" i="1"/>
  <c r="DA51" i="1" s="1"/>
  <c r="GM51" i="1"/>
  <c r="GN51" i="1" s="1"/>
  <c r="JR49" i="1"/>
  <c r="JS49" i="1" s="1"/>
  <c r="SG13" i="1"/>
  <c r="GM56" i="1"/>
  <c r="GN56" i="1" s="1"/>
  <c r="ES56" i="1"/>
  <c r="ET56" i="1" s="1"/>
  <c r="JD54" i="1"/>
  <c r="JE54" i="1" s="1"/>
  <c r="PT50" i="1"/>
  <c r="PT48" i="1"/>
  <c r="SC37" i="1"/>
  <c r="SG37" i="1" s="1"/>
  <c r="SC16" i="1"/>
  <c r="SG16" i="1" s="1"/>
  <c r="PT20" i="1"/>
  <c r="SG38" i="1"/>
  <c r="SG43" i="1"/>
  <c r="SE28" i="1"/>
  <c r="SF28" i="1"/>
  <c r="SJ28" i="1" s="1"/>
  <c r="SG31" i="1"/>
  <c r="SS57" i="1"/>
  <c r="RN57" i="1"/>
  <c r="UX54" i="1"/>
  <c r="LH54" i="1"/>
  <c r="LI54" i="1" s="1"/>
  <c r="LB54" i="1"/>
  <c r="LC54" i="1"/>
  <c r="CZ54" i="1"/>
  <c r="DA54" i="1" s="1"/>
  <c r="ES54" i="1"/>
  <c r="ET54" i="1" s="1"/>
  <c r="CK54" i="1"/>
  <c r="PF54" i="1"/>
  <c r="FH54" i="1"/>
  <c r="FI54" i="1" s="1"/>
  <c r="JY54" i="1"/>
  <c r="JZ54" i="1" s="1"/>
  <c r="LC49" i="1"/>
  <c r="UX49" i="1"/>
  <c r="LH49" i="1"/>
  <c r="LI49" i="1" s="1"/>
  <c r="LB49" i="1"/>
  <c r="FH49" i="1"/>
  <c r="FI49" i="1" s="1"/>
  <c r="JY49" i="1"/>
  <c r="JZ49" i="1" s="1"/>
  <c r="CK49" i="1"/>
  <c r="ES49" i="1"/>
  <c r="ET49" i="1" s="1"/>
  <c r="PF49" i="1"/>
  <c r="KX35" i="1"/>
  <c r="KX12" i="1"/>
  <c r="EA36" i="1"/>
  <c r="SH36" i="1"/>
  <c r="SE36" i="1"/>
  <c r="SF36" i="1"/>
  <c r="SJ36" i="1" s="1"/>
  <c r="PO59" i="1"/>
  <c r="VR59" i="1"/>
  <c r="PN59" i="1"/>
  <c r="WJ59" i="1"/>
  <c r="RR59" i="1"/>
  <c r="RS59" i="1" s="1"/>
  <c r="UR59" i="1"/>
  <c r="QC14" i="1"/>
  <c r="US14" i="1" s="1"/>
  <c r="PW14" i="1"/>
  <c r="ZQ52" i="1"/>
  <c r="ZR52" i="1" s="1"/>
  <c r="ZL52" i="1"/>
  <c r="XU52" i="1"/>
  <c r="XT52" i="1" s="1"/>
  <c r="WZ52" i="1"/>
  <c r="XB52" i="1" s="1"/>
  <c r="UW52" i="1"/>
  <c r="EC40" i="1"/>
  <c r="ST40" i="1" s="1"/>
  <c r="SV40" i="1" s="1"/>
  <c r="SP40" i="1"/>
  <c r="SN40" i="1"/>
  <c r="EC32" i="1"/>
  <c r="ST32" i="1" s="1"/>
  <c r="SV32" i="1" s="1"/>
  <c r="SP32" i="1"/>
  <c r="SN32" i="1"/>
  <c r="EC18" i="1"/>
  <c r="ST18" i="1" s="1"/>
  <c r="SV18" i="1" s="1"/>
  <c r="SP18" i="1"/>
  <c r="SN18" i="1"/>
  <c r="PP58" i="1"/>
  <c r="PI58" i="1"/>
  <c r="KX45" i="1"/>
  <c r="KX17" i="1"/>
  <c r="EC11" i="1"/>
  <c r="ST11" i="1" s="1"/>
  <c r="SV11" i="1" s="1"/>
  <c r="SP11" i="1"/>
  <c r="SN11" i="1"/>
  <c r="PP50" i="1"/>
  <c r="PI50" i="1"/>
  <c r="SR34" i="1"/>
  <c r="CX34" i="1"/>
  <c r="FF34" i="1"/>
  <c r="EQ34" i="1"/>
  <c r="JP34" i="1"/>
  <c r="FW34" i="1"/>
  <c r="JB34" i="1"/>
  <c r="DN34" i="1"/>
  <c r="JW34" i="1"/>
  <c r="TA34" i="1"/>
  <c r="CI34" i="1"/>
  <c r="TC34" i="1"/>
  <c r="KW34" i="1"/>
  <c r="GK34" i="1"/>
  <c r="PO58" i="1"/>
  <c r="VR58" i="1"/>
  <c r="PN58" i="1"/>
  <c r="RR58" i="1"/>
  <c r="RS58" i="1" s="1"/>
  <c r="UR58" i="1"/>
  <c r="WJ58" i="1"/>
  <c r="EC33" i="1"/>
  <c r="ST33" i="1" s="1"/>
  <c r="SV33" i="1" s="1"/>
  <c r="SP33" i="1"/>
  <c r="SN33" i="1"/>
  <c r="EC26" i="1"/>
  <c r="ST26" i="1" s="1"/>
  <c r="SV26" i="1" s="1"/>
  <c r="SP26" i="1"/>
  <c r="SN26" i="1"/>
  <c r="AAO19" i="1"/>
  <c r="ADD19" i="1"/>
  <c r="ADC19" i="1" s="1"/>
  <c r="PO9" i="1"/>
  <c r="VR9" i="1"/>
  <c r="PN9" i="1"/>
  <c r="WJ9" i="1"/>
  <c r="UR9" i="1"/>
  <c r="RR9" i="1"/>
  <c r="RS9" i="1" s="1"/>
  <c r="EC13" i="1"/>
  <c r="ST13" i="1" s="1"/>
  <c r="SV13" i="1" s="1"/>
  <c r="SP13" i="1"/>
  <c r="SN13" i="1"/>
  <c r="EC43" i="1"/>
  <c r="ST43" i="1" s="1"/>
  <c r="SV43" i="1" s="1"/>
  <c r="SP43" i="1"/>
  <c r="SN43" i="1"/>
  <c r="PU22" i="1"/>
  <c r="PZ22" i="1"/>
  <c r="PV11" i="1"/>
  <c r="PP11" i="1"/>
  <c r="PI11" i="1"/>
  <c r="YY11" i="1"/>
  <c r="VR18" i="1"/>
  <c r="PN18" i="1"/>
  <c r="PO18" i="1"/>
  <c r="LC60" i="1"/>
  <c r="UX60" i="1"/>
  <c r="LH60" i="1"/>
  <c r="LI60" i="1" s="1"/>
  <c r="LB60" i="1"/>
  <c r="PF60" i="1"/>
  <c r="EA41" i="1"/>
  <c r="SH41" i="1"/>
  <c r="SF41" i="1"/>
  <c r="SJ41" i="1" s="1"/>
  <c r="SE41" i="1"/>
  <c r="SH35" i="1"/>
  <c r="SF35" i="1"/>
  <c r="SJ35" i="1" s="1"/>
  <c r="EA35" i="1"/>
  <c r="SE35" i="1"/>
  <c r="SS51" i="1"/>
  <c r="RN51" i="1"/>
  <c r="ZQ57" i="1"/>
  <c r="ZR57" i="1" s="1"/>
  <c r="ZL57" i="1"/>
  <c r="YF14" i="1"/>
  <c r="YG14" i="1" s="1"/>
  <c r="WH14" i="1"/>
  <c r="VY14" i="1"/>
  <c r="YO14" i="1"/>
  <c r="YS14" i="1" s="1"/>
  <c r="VX14" i="1"/>
  <c r="SR30" i="1"/>
  <c r="DN30" i="1"/>
  <c r="CX30" i="1"/>
  <c r="FW30" i="1"/>
  <c r="CI30" i="1"/>
  <c r="JB30" i="1"/>
  <c r="EQ30" i="1"/>
  <c r="JW30" i="1"/>
  <c r="FF30" i="1"/>
  <c r="JP30" i="1"/>
  <c r="TA30" i="1"/>
  <c r="GK30" i="1"/>
  <c r="KW30" i="1"/>
  <c r="TC30" i="1"/>
  <c r="EC20" i="1"/>
  <c r="ST20" i="1" s="1"/>
  <c r="SV20" i="1" s="1"/>
  <c r="SP20" i="1"/>
  <c r="SN20" i="1"/>
  <c r="PK14" i="1"/>
  <c r="PR14" i="1"/>
  <c r="AAO14" i="1"/>
  <c r="ADD14" i="1"/>
  <c r="ADC14" i="1" s="1"/>
  <c r="PM55" i="1"/>
  <c r="PG55" i="1"/>
  <c r="EC27" i="1"/>
  <c r="ST27" i="1" s="1"/>
  <c r="SV27" i="1" s="1"/>
  <c r="SP27" i="1"/>
  <c r="EB27" i="1" s="1"/>
  <c r="SN27" i="1"/>
  <c r="EC29" i="1"/>
  <c r="ST29" i="1" s="1"/>
  <c r="SV29" i="1" s="1"/>
  <c r="SP29" i="1"/>
  <c r="SN29" i="1"/>
  <c r="LH46" i="1"/>
  <c r="LI46" i="1" s="1"/>
  <c r="UX46" i="1"/>
  <c r="LC46" i="1"/>
  <c r="LB46" i="1"/>
  <c r="JY46" i="1"/>
  <c r="JZ46" i="1" s="1"/>
  <c r="PF46" i="1"/>
  <c r="PI13" i="1"/>
  <c r="PP13" i="1"/>
  <c r="AAQ13" i="1"/>
  <c r="LM13" i="1"/>
  <c r="PJ13" i="1"/>
  <c r="PP20" i="1"/>
  <c r="PV20" i="1" s="1"/>
  <c r="PI20" i="1"/>
  <c r="CL53" i="1"/>
  <c r="LJ53" i="1"/>
  <c r="PI22" i="1"/>
  <c r="PP22" i="1"/>
  <c r="AAQ22" i="1"/>
  <c r="LM22" i="1"/>
  <c r="PJ22" i="1"/>
  <c r="PP9" i="1"/>
  <c r="PI9" i="1"/>
  <c r="AAQ9" i="1"/>
  <c r="LM9" i="1"/>
  <c r="PJ9" i="1"/>
  <c r="EC31" i="1"/>
  <c r="ST31" i="1" s="1"/>
  <c r="SV31" i="1" s="1"/>
  <c r="SP31" i="1"/>
  <c r="SN31" i="1"/>
  <c r="TA10" i="1"/>
  <c r="SR10" i="1"/>
  <c r="FW10" i="1"/>
  <c r="JP10" i="1"/>
  <c r="CX10" i="1"/>
  <c r="EQ10" i="1"/>
  <c r="CI10" i="1"/>
  <c r="DN10" i="1"/>
  <c r="FF10" i="1"/>
  <c r="JW10" i="1"/>
  <c r="JB10" i="1"/>
  <c r="TC10" i="1"/>
  <c r="KW10" i="1"/>
  <c r="GK10" i="1"/>
  <c r="VS13" i="1"/>
  <c r="VW13" i="1" s="1"/>
  <c r="QA13" i="1"/>
  <c r="QB13" i="1"/>
  <c r="YY59" i="1"/>
  <c r="EA25" i="1"/>
  <c r="SH25" i="1"/>
  <c r="SF25" i="1"/>
  <c r="SJ25" i="1" s="1"/>
  <c r="SE25" i="1"/>
  <c r="KX25" i="1"/>
  <c r="PP18" i="1"/>
  <c r="PV18" i="1" s="1"/>
  <c r="PI18" i="1"/>
  <c r="AAQ18" i="1"/>
  <c r="LM18" i="1"/>
  <c r="PJ18" i="1"/>
  <c r="VR52" i="1"/>
  <c r="PO52" i="1"/>
  <c r="PN52" i="1"/>
  <c r="EC28" i="1"/>
  <c r="ST28" i="1" s="1"/>
  <c r="SV28" i="1" s="1"/>
  <c r="SP28" i="1"/>
  <c r="SN28" i="1"/>
  <c r="PG57" i="1"/>
  <c r="PM57" i="1"/>
  <c r="JR51" i="1"/>
  <c r="JS51" i="1" s="1"/>
  <c r="DP51" i="1"/>
  <c r="DQ51" i="1" s="1"/>
  <c r="DP49" i="1"/>
  <c r="DQ49" i="1" s="1"/>
  <c r="JY56" i="1"/>
  <c r="JZ56" i="1" s="1"/>
  <c r="DP56" i="1"/>
  <c r="DQ56" i="1" s="1"/>
  <c r="JD56" i="1"/>
  <c r="JE56" i="1" s="1"/>
  <c r="GM54" i="1"/>
  <c r="GN54" i="1" s="1"/>
  <c r="FY49" i="1"/>
  <c r="FZ49" i="1" s="1"/>
  <c r="LJ55" i="1"/>
  <c r="SC45" i="1"/>
  <c r="SG45" i="1" s="1"/>
  <c r="SC17" i="1"/>
  <c r="SG17" i="1" s="1"/>
  <c r="EB34" i="1"/>
  <c r="KY51" i="1"/>
  <c r="KZ51" i="1" s="1"/>
  <c r="KY49" i="1"/>
  <c r="KZ49" i="1" s="1"/>
  <c r="PT18" i="1"/>
  <c r="JR60" i="1"/>
  <c r="JS60" i="1" s="1"/>
  <c r="ED60" i="1"/>
  <c r="EE60" i="1" s="1"/>
  <c r="SG23" i="1"/>
  <c r="FH60" i="1"/>
  <c r="FI60" i="1" s="1"/>
  <c r="JY51" i="1"/>
  <c r="JZ51" i="1" s="1"/>
  <c r="FY60" i="1"/>
  <c r="FZ60" i="1" s="1"/>
  <c r="SG11" i="1"/>
  <c r="JD51" i="1"/>
  <c r="JE51" i="1" s="1"/>
  <c r="JD49" i="1"/>
  <c r="JE49" i="1" s="1"/>
  <c r="GM49" i="1"/>
  <c r="GN49" i="1" s="1"/>
  <c r="ED56" i="1"/>
  <c r="EE56" i="1" s="1"/>
  <c r="FH56" i="1"/>
  <c r="FI56" i="1" s="1"/>
  <c r="JR54" i="1"/>
  <c r="JS54" i="1" s="1"/>
  <c r="JY60" i="1"/>
  <c r="JZ60" i="1" s="1"/>
  <c r="FY54" i="1"/>
  <c r="FZ54" i="1" s="1"/>
  <c r="SG32" i="1"/>
  <c r="PV48" i="1"/>
  <c r="PV19" i="1"/>
  <c r="EB10" i="1"/>
  <c r="QG13" i="1"/>
  <c r="SC25" i="1"/>
  <c r="SG25" i="1" s="1"/>
  <c r="SG39" i="1"/>
  <c r="SG26" i="1"/>
  <c r="SH28" i="1"/>
  <c r="SR14" i="2" l="1"/>
  <c r="FW14" i="2"/>
  <c r="DN14" i="2"/>
  <c r="EQ14" i="2"/>
  <c r="CI14" i="2"/>
  <c r="FF14" i="2"/>
  <c r="CX14" i="2"/>
  <c r="JB14" i="2"/>
  <c r="TA14" i="2"/>
  <c r="JP14" i="2"/>
  <c r="JW14" i="2"/>
  <c r="GK14" i="2"/>
  <c r="TC14" i="2"/>
  <c r="KW14" i="2"/>
  <c r="SR13" i="2"/>
  <c r="FF13" i="2"/>
  <c r="EQ13" i="2"/>
  <c r="DN13" i="2"/>
  <c r="CX13" i="2"/>
  <c r="CI13" i="2"/>
  <c r="FW13" i="2"/>
  <c r="JP13" i="2"/>
  <c r="JW13" i="2"/>
  <c r="JB13" i="2"/>
  <c r="TA13" i="2"/>
  <c r="TC13" i="2"/>
  <c r="GK13" i="2"/>
  <c r="KW13" i="2"/>
  <c r="EC10" i="2"/>
  <c r="ST10" i="2" s="1"/>
  <c r="SV10" i="2" s="1"/>
  <c r="SP10" i="2"/>
  <c r="SN10" i="2"/>
  <c r="SR11" i="2"/>
  <c r="FF11" i="2"/>
  <c r="EQ11" i="2"/>
  <c r="DN11" i="2"/>
  <c r="CX11" i="2"/>
  <c r="CI11" i="2"/>
  <c r="FW11" i="2"/>
  <c r="TA11" i="2"/>
  <c r="JP11" i="2"/>
  <c r="JB11" i="2"/>
  <c r="JW11" i="2"/>
  <c r="TC11" i="2"/>
  <c r="GK11" i="2"/>
  <c r="KW11" i="2"/>
  <c r="SR12" i="2"/>
  <c r="FW12" i="2"/>
  <c r="FF12" i="2"/>
  <c r="CX12" i="2"/>
  <c r="DN12" i="2"/>
  <c r="CI12" i="2"/>
  <c r="EQ12" i="2"/>
  <c r="JB12" i="2"/>
  <c r="JP12" i="2"/>
  <c r="TA12" i="2"/>
  <c r="JW12" i="2"/>
  <c r="TC12" i="2"/>
  <c r="KW12" i="2"/>
  <c r="GK12" i="2"/>
  <c r="EB14" i="2"/>
  <c r="UY14" i="2"/>
  <c r="UL14" i="2"/>
  <c r="UY13" i="2"/>
  <c r="UL13" i="2"/>
  <c r="UY11" i="2"/>
  <c r="UL11" i="2"/>
  <c r="UY12" i="2"/>
  <c r="UL12" i="2"/>
  <c r="EB13" i="2"/>
  <c r="EB11" i="2"/>
  <c r="EB12" i="2"/>
  <c r="YF13" i="1"/>
  <c r="YG13" i="1" s="1"/>
  <c r="YO13" i="1"/>
  <c r="YS13" i="1" s="1"/>
  <c r="VY13" i="1"/>
  <c r="VX13" i="1"/>
  <c r="WH13" i="1"/>
  <c r="QC59" i="1"/>
  <c r="PW59" i="1"/>
  <c r="QE19" i="1"/>
  <c r="RH19" i="1" s="1"/>
  <c r="RI19" i="1" s="1"/>
  <c r="RL19" i="1" s="1"/>
  <c r="PY19" i="1"/>
  <c r="QC20" i="1"/>
  <c r="RE20" i="1" s="1"/>
  <c r="RF20" i="1" s="1"/>
  <c r="PW20" i="1"/>
  <c r="ZL60" i="1"/>
  <c r="ZQ60" i="1"/>
  <c r="ZR60" i="1" s="1"/>
  <c r="PZ18" i="1"/>
  <c r="PU18" i="1"/>
  <c r="YZ55" i="1"/>
  <c r="LK55" i="1"/>
  <c r="LL55" i="1"/>
  <c r="PH55" i="1"/>
  <c r="UY28" i="1"/>
  <c r="QC18" i="1"/>
  <c r="PW18" i="1"/>
  <c r="EC25" i="1"/>
  <c r="ST25" i="1" s="1"/>
  <c r="SV25" i="1" s="1"/>
  <c r="SP25" i="1"/>
  <c r="SN25" i="1"/>
  <c r="UK10" i="1"/>
  <c r="TO10" i="1"/>
  <c r="TE10" i="1"/>
  <c r="UH10" i="1"/>
  <c r="TG10" i="1"/>
  <c r="UY31" i="1"/>
  <c r="PR9" i="1"/>
  <c r="PK9" i="1"/>
  <c r="AAO9" i="1"/>
  <c r="ADD9" i="1"/>
  <c r="ADC9" i="1" s="1"/>
  <c r="PQ9" i="1"/>
  <c r="ZU9" i="1"/>
  <c r="PR22" i="1"/>
  <c r="PX22" i="1" s="1"/>
  <c r="PK22" i="1"/>
  <c r="AAO22" i="1"/>
  <c r="ADD22" i="1"/>
  <c r="ADC22" i="1" s="1"/>
  <c r="LK53" i="1"/>
  <c r="YZ53" i="1"/>
  <c r="LL53" i="1"/>
  <c r="PH53" i="1"/>
  <c r="PR13" i="1"/>
  <c r="PX13" i="1"/>
  <c r="PK13" i="1"/>
  <c r="PQ13" i="1"/>
  <c r="ZU13" i="1"/>
  <c r="XU46" i="1"/>
  <c r="XT46" i="1" s="1"/>
  <c r="WZ46" i="1"/>
  <c r="XB46" i="1" s="1"/>
  <c r="UW46" i="1"/>
  <c r="UY29" i="1"/>
  <c r="UY27" i="1"/>
  <c r="PO55" i="1"/>
  <c r="VR55" i="1"/>
  <c r="PN55" i="1"/>
  <c r="ACA14" i="1"/>
  <c r="PS14" i="1"/>
  <c r="SR20" i="1"/>
  <c r="TA20" i="1"/>
  <c r="TC20" i="1"/>
  <c r="UK30" i="1"/>
  <c r="TO30" i="1"/>
  <c r="TE30" i="1"/>
  <c r="UH30" i="1"/>
  <c r="TG30" i="1"/>
  <c r="WB14" i="1"/>
  <c r="YQ14" i="1"/>
  <c r="YT14" i="1" s="1"/>
  <c r="WG14" i="1"/>
  <c r="XN14" i="1"/>
  <c r="WQ14" i="1"/>
  <c r="WS14" i="1" s="1"/>
  <c r="XQ14" i="1"/>
  <c r="VZ14" i="1"/>
  <c r="VU14" i="1"/>
  <c r="WR14" i="1"/>
  <c r="EC35" i="1"/>
  <c r="ST35" i="1" s="1"/>
  <c r="SV35" i="1" s="1"/>
  <c r="SP35" i="1"/>
  <c r="SN35" i="1"/>
  <c r="EC41" i="1"/>
  <c r="ST41" i="1" s="1"/>
  <c r="SV41" i="1" s="1"/>
  <c r="SP41" i="1"/>
  <c r="SN41" i="1"/>
  <c r="PM60" i="1"/>
  <c r="PG60" i="1"/>
  <c r="ZU11" i="1"/>
  <c r="PQ11" i="1"/>
  <c r="VS22" i="1"/>
  <c r="QA22" i="1"/>
  <c r="QB22" i="1"/>
  <c r="SR43" i="1"/>
  <c r="JP43" i="1"/>
  <c r="FF43" i="1"/>
  <c r="TA43" i="1"/>
  <c r="DN43" i="1"/>
  <c r="EQ43" i="1"/>
  <c r="JW43" i="1"/>
  <c r="JB43" i="1"/>
  <c r="FW43" i="1"/>
  <c r="CI43" i="1"/>
  <c r="CX43" i="1"/>
  <c r="GK43" i="1"/>
  <c r="TC43" i="1"/>
  <c r="KW43" i="1"/>
  <c r="SR13" i="1"/>
  <c r="TA13" i="1"/>
  <c r="TC13" i="1"/>
  <c r="SR26" i="1"/>
  <c r="FW26" i="1"/>
  <c r="FF26" i="1"/>
  <c r="DN26" i="1"/>
  <c r="CI26" i="1"/>
  <c r="CX26" i="1"/>
  <c r="EQ26" i="1"/>
  <c r="JB26" i="1"/>
  <c r="TA26" i="1"/>
  <c r="JW26" i="1"/>
  <c r="JP26" i="1"/>
  <c r="GK26" i="1"/>
  <c r="TC26" i="1"/>
  <c r="KW26" i="1"/>
  <c r="SR33" i="1"/>
  <c r="JP33" i="1"/>
  <c r="JB33" i="1"/>
  <c r="DN33" i="1"/>
  <c r="TA33" i="1"/>
  <c r="FW33" i="1"/>
  <c r="CX33" i="1"/>
  <c r="CI33" i="1"/>
  <c r="EQ33" i="1"/>
  <c r="JW33" i="1"/>
  <c r="FF33" i="1"/>
  <c r="TC33" i="1"/>
  <c r="GK33" i="1"/>
  <c r="KW33" i="1"/>
  <c r="SQ34" i="1"/>
  <c r="LA34" i="1"/>
  <c r="KY34" i="1" s="1"/>
  <c r="KZ34" i="1" s="1"/>
  <c r="ZU50" i="1"/>
  <c r="PQ50" i="1"/>
  <c r="UY11" i="1"/>
  <c r="PQ58" i="1"/>
  <c r="ZU58" i="1"/>
  <c r="UY18" i="1"/>
  <c r="SR32" i="1"/>
  <c r="JB32" i="1"/>
  <c r="EQ32" i="1"/>
  <c r="TA32" i="1"/>
  <c r="JW32" i="1"/>
  <c r="JP32" i="1"/>
  <c r="FW32" i="1"/>
  <c r="DN32" i="1"/>
  <c r="FF32" i="1"/>
  <c r="CI32" i="1"/>
  <c r="CX32" i="1"/>
  <c r="GK32" i="1"/>
  <c r="TC32" i="1"/>
  <c r="KW32" i="1"/>
  <c r="SR40" i="1"/>
  <c r="FF40" i="1"/>
  <c r="EQ40" i="1"/>
  <c r="DN40" i="1"/>
  <c r="CX40" i="1"/>
  <c r="CI40" i="1"/>
  <c r="FW40" i="1"/>
  <c r="JP40" i="1"/>
  <c r="JB40" i="1"/>
  <c r="TA40" i="1"/>
  <c r="JW40" i="1"/>
  <c r="TC40" i="1"/>
  <c r="GK40" i="1"/>
  <c r="KW40" i="1"/>
  <c r="EC36" i="1"/>
  <c r="ST36" i="1" s="1"/>
  <c r="SV36" i="1" s="1"/>
  <c r="SP36" i="1"/>
  <c r="SN36" i="1"/>
  <c r="PM49" i="1"/>
  <c r="PT49" i="1" s="1"/>
  <c r="PG49" i="1"/>
  <c r="CL49" i="1"/>
  <c r="LJ49" i="1"/>
  <c r="PM54" i="1"/>
  <c r="PT54" i="1"/>
  <c r="PG54" i="1"/>
  <c r="PZ20" i="1"/>
  <c r="PU20" i="1"/>
  <c r="YZ47" i="1"/>
  <c r="LK47" i="1"/>
  <c r="LL47" i="1"/>
  <c r="PH47" i="1"/>
  <c r="ZQ51" i="1"/>
  <c r="ZR51" i="1" s="1"/>
  <c r="ZL51" i="1"/>
  <c r="QA52" i="1"/>
  <c r="VS52" i="1"/>
  <c r="QB52" i="1"/>
  <c r="WJ52" i="1"/>
  <c r="RR52" i="1"/>
  <c r="RS52" i="1" s="1"/>
  <c r="UR52" i="1"/>
  <c r="PO47" i="1"/>
  <c r="VR47" i="1"/>
  <c r="PN47" i="1"/>
  <c r="SR38" i="1"/>
  <c r="DN38" i="1"/>
  <c r="JP38" i="1"/>
  <c r="FF38" i="1"/>
  <c r="CX38" i="1"/>
  <c r="JB38" i="1"/>
  <c r="EQ38" i="1"/>
  <c r="JW38" i="1"/>
  <c r="TA38" i="1"/>
  <c r="FW38" i="1"/>
  <c r="CI38" i="1"/>
  <c r="TC38" i="1"/>
  <c r="GK38" i="1"/>
  <c r="KW38" i="1"/>
  <c r="UY39" i="1"/>
  <c r="SR14" i="1"/>
  <c r="TA14" i="1"/>
  <c r="TC14" i="1"/>
  <c r="SR9" i="1"/>
  <c r="TA9" i="1"/>
  <c r="TC9" i="1"/>
  <c r="UY21" i="1"/>
  <c r="UY22" i="1"/>
  <c r="AAO20" i="1"/>
  <c r="ADD20" i="1"/>
  <c r="ADC20" i="1" s="1"/>
  <c r="UY15" i="1"/>
  <c r="PR11" i="1"/>
  <c r="PX11" i="1" s="1"/>
  <c r="PK11" i="1"/>
  <c r="ADD11" i="1"/>
  <c r="ADC11" i="1" s="1"/>
  <c r="AAO11" i="1"/>
  <c r="PR50" i="1"/>
  <c r="PX50" i="1" s="1"/>
  <c r="PK50" i="1"/>
  <c r="ADD50" i="1"/>
  <c r="ADC50" i="1" s="1"/>
  <c r="AAO50" i="1"/>
  <c r="EC17" i="1"/>
  <c r="ST17" i="1" s="1"/>
  <c r="SV17" i="1" s="1"/>
  <c r="SP17" i="1"/>
  <c r="SN17" i="1"/>
  <c r="EC45" i="1"/>
  <c r="ST45" i="1" s="1"/>
  <c r="SV45" i="1" s="1"/>
  <c r="SP45" i="1"/>
  <c r="SN45" i="1"/>
  <c r="ADD58" i="1"/>
  <c r="ADC58" i="1" s="1"/>
  <c r="AAO58" i="1"/>
  <c r="ACA48" i="1"/>
  <c r="PS48" i="1"/>
  <c r="UY44" i="1"/>
  <c r="UY23" i="1"/>
  <c r="UY24" i="1"/>
  <c r="VS59" i="1"/>
  <c r="QA59" i="1"/>
  <c r="QB59" i="1"/>
  <c r="CL56" i="1"/>
  <c r="LJ56" i="1"/>
  <c r="XU56" i="1"/>
  <c r="XT56" i="1" s="1"/>
  <c r="WZ56" i="1"/>
  <c r="XB56" i="1" s="1"/>
  <c r="UW56" i="1"/>
  <c r="CL51" i="1"/>
  <c r="LJ51" i="1"/>
  <c r="PG51" i="1"/>
  <c r="PM51" i="1"/>
  <c r="XU51" i="1"/>
  <c r="XT51" i="1" s="1"/>
  <c r="WZ51" i="1"/>
  <c r="XB51" i="1" s="1"/>
  <c r="UW51" i="1"/>
  <c r="EC12" i="1"/>
  <c r="ST12" i="1" s="1"/>
  <c r="SV12" i="1" s="1"/>
  <c r="SP12" i="1"/>
  <c r="SN12" i="1"/>
  <c r="LL52" i="1"/>
  <c r="YZ52" i="1"/>
  <c r="LK52" i="1"/>
  <c r="PH52" i="1"/>
  <c r="VW52" i="1"/>
  <c r="PV13" i="1"/>
  <c r="PX14" i="1"/>
  <c r="QG22" i="1"/>
  <c r="EB43" i="1"/>
  <c r="EB26" i="1"/>
  <c r="JY34" i="1"/>
  <c r="JZ34" i="1" s="1"/>
  <c r="JD34" i="1"/>
  <c r="JE34" i="1" s="1"/>
  <c r="JR34" i="1"/>
  <c r="JS34" i="1" s="1"/>
  <c r="FH34" i="1"/>
  <c r="FI34" i="1" s="1"/>
  <c r="RE14" i="1"/>
  <c r="RF14" i="1" s="1"/>
  <c r="RG14" i="1" s="1"/>
  <c r="SG36" i="1"/>
  <c r="QG52" i="1"/>
  <c r="LJ60" i="1"/>
  <c r="WJ22" i="1"/>
  <c r="QG59" i="1"/>
  <c r="SG35" i="1"/>
  <c r="WU13" i="1"/>
  <c r="WI13" i="1"/>
  <c r="RC13" i="1"/>
  <c r="RD13" i="1" s="1"/>
  <c r="QI13" i="1"/>
  <c r="QH13" i="1"/>
  <c r="QJ13" i="1" s="1"/>
  <c r="RV13" i="1" s="1"/>
  <c r="WV13" i="1"/>
  <c r="PW19" i="1"/>
  <c r="RE19" i="1"/>
  <c r="RF19" i="1" s="1"/>
  <c r="QC19" i="1"/>
  <c r="RE48" i="1"/>
  <c r="RF48" i="1" s="1"/>
  <c r="QC48" i="1"/>
  <c r="PW48" i="1"/>
  <c r="ZQ56" i="1"/>
  <c r="ZR56" i="1" s="1"/>
  <c r="ZL56" i="1"/>
  <c r="VR57" i="1"/>
  <c r="PN57" i="1"/>
  <c r="PO57" i="1"/>
  <c r="SR28" i="1"/>
  <c r="FW28" i="1"/>
  <c r="DN28" i="1"/>
  <c r="EQ28" i="1"/>
  <c r="CI28" i="1"/>
  <c r="FF28" i="1"/>
  <c r="CX28" i="1"/>
  <c r="JB28" i="1"/>
  <c r="TA28" i="1"/>
  <c r="JP28" i="1"/>
  <c r="JW28" i="1"/>
  <c r="TC28" i="1"/>
  <c r="GK28" i="1"/>
  <c r="PR18" i="1"/>
  <c r="PX18" i="1" s="1"/>
  <c r="PK18" i="1"/>
  <c r="ADD18" i="1"/>
  <c r="ADC18" i="1" s="1"/>
  <c r="AAO18" i="1"/>
  <c r="ZU18" i="1"/>
  <c r="PQ18" i="1"/>
  <c r="US18" i="1"/>
  <c r="UT18" i="1"/>
  <c r="SQ10" i="1"/>
  <c r="LA10" i="1"/>
  <c r="SR31" i="1"/>
  <c r="JB31" i="1"/>
  <c r="DN31" i="1"/>
  <c r="JP31" i="1"/>
  <c r="FW31" i="1"/>
  <c r="FF31" i="1"/>
  <c r="JW31" i="1"/>
  <c r="TA31" i="1"/>
  <c r="EQ31" i="1"/>
  <c r="CX31" i="1"/>
  <c r="CI31" i="1"/>
  <c r="TC31" i="1"/>
  <c r="GK31" i="1"/>
  <c r="KW31" i="1"/>
  <c r="PQ22" i="1"/>
  <c r="ZU22" i="1"/>
  <c r="PQ20" i="1"/>
  <c r="ZU20" i="1"/>
  <c r="UT20" i="1"/>
  <c r="US20" i="1"/>
  <c r="AAO13" i="1"/>
  <c r="ADD13" i="1"/>
  <c r="ADC13" i="1" s="1"/>
  <c r="PG46" i="1"/>
  <c r="PM46" i="1"/>
  <c r="SR29" i="1"/>
  <c r="FW29" i="1"/>
  <c r="JP29" i="1"/>
  <c r="JB29" i="1"/>
  <c r="EQ29" i="1"/>
  <c r="FF29" i="1"/>
  <c r="CI29" i="1"/>
  <c r="CX29" i="1"/>
  <c r="DN29" i="1"/>
  <c r="TA29" i="1"/>
  <c r="JW29" i="1"/>
  <c r="TC29" i="1"/>
  <c r="GK29" i="1"/>
  <c r="KW29" i="1"/>
  <c r="SR27" i="1"/>
  <c r="FF27" i="1"/>
  <c r="EQ27" i="1"/>
  <c r="DN27" i="1"/>
  <c r="CX27" i="1"/>
  <c r="CI27" i="1"/>
  <c r="FW27" i="1"/>
  <c r="JP27" i="1"/>
  <c r="JB27" i="1"/>
  <c r="TA27" i="1"/>
  <c r="JW27" i="1"/>
  <c r="TC27" i="1"/>
  <c r="GK27" i="1"/>
  <c r="KW27" i="1"/>
  <c r="UY20" i="1"/>
  <c r="UL20" i="1"/>
  <c r="SQ30" i="1"/>
  <c r="LA30" i="1"/>
  <c r="CK30" i="1" s="1"/>
  <c r="XU60" i="1"/>
  <c r="XT60" i="1" s="1"/>
  <c r="WZ60" i="1"/>
  <c r="XB60" i="1" s="1"/>
  <c r="UW60" i="1"/>
  <c r="QC11" i="1"/>
  <c r="PW11" i="1"/>
  <c r="UY43" i="1"/>
  <c r="UL43" i="1"/>
  <c r="UY13" i="1"/>
  <c r="UL13" i="1"/>
  <c r="UY26" i="1"/>
  <c r="UL26" i="1"/>
  <c r="UY33" i="1"/>
  <c r="UL33" i="1"/>
  <c r="UH34" i="1"/>
  <c r="TG34" i="1"/>
  <c r="UK34" i="1"/>
  <c r="TO34" i="1"/>
  <c r="TE34" i="1"/>
  <c r="UL34" i="1"/>
  <c r="SR11" i="1"/>
  <c r="TA11" i="1"/>
  <c r="TC11" i="1"/>
  <c r="SR18" i="1"/>
  <c r="TA18" i="1"/>
  <c r="TC18" i="1"/>
  <c r="UY32" i="1"/>
  <c r="UL32" i="1"/>
  <c r="UY40" i="1"/>
  <c r="UL40" i="1"/>
  <c r="ZV14" i="1"/>
  <c r="ZZ14" i="1" s="1"/>
  <c r="QD14" i="1"/>
  <c r="XU49" i="1"/>
  <c r="XT49" i="1" s="1"/>
  <c r="WZ49" i="1"/>
  <c r="XB49" i="1" s="1"/>
  <c r="UW49" i="1"/>
  <c r="LJ54" i="1"/>
  <c r="CL54" i="1"/>
  <c r="XU54" i="1"/>
  <c r="XT54" i="1" s="1"/>
  <c r="WZ54" i="1"/>
  <c r="XB54" i="1" s="1"/>
  <c r="UW54" i="1"/>
  <c r="PZ48" i="1"/>
  <c r="QG48" i="1"/>
  <c r="PU48" i="1"/>
  <c r="PZ50" i="1"/>
  <c r="QG50" i="1" s="1"/>
  <c r="PU50" i="1"/>
  <c r="PZ19" i="1"/>
  <c r="QG19" i="1" s="1"/>
  <c r="PU19" i="1"/>
  <c r="PZ11" i="1"/>
  <c r="QG11" i="1" s="1"/>
  <c r="PU11" i="1"/>
  <c r="ZL54" i="1"/>
  <c r="ZQ54" i="1"/>
  <c r="ZR54" i="1" s="1"/>
  <c r="ZL49" i="1"/>
  <c r="ZQ49" i="1"/>
  <c r="ZR49" i="1" s="1"/>
  <c r="LL57" i="1"/>
  <c r="YZ57" i="1"/>
  <c r="LK57" i="1"/>
  <c r="PH57" i="1"/>
  <c r="PR59" i="1"/>
  <c r="PX59" i="1" s="1"/>
  <c r="PK59" i="1"/>
  <c r="ADD59" i="1"/>
  <c r="ADC59" i="1" s="1"/>
  <c r="AAO59" i="1"/>
  <c r="PQ59" i="1"/>
  <c r="ZU59" i="1"/>
  <c r="US59" i="1"/>
  <c r="UT59" i="1"/>
  <c r="UY38" i="1"/>
  <c r="UL38" i="1"/>
  <c r="SR39" i="1"/>
  <c r="FF39" i="1"/>
  <c r="EQ39" i="1"/>
  <c r="DN39" i="1"/>
  <c r="FW39" i="1"/>
  <c r="CI39" i="1"/>
  <c r="CX39" i="1"/>
  <c r="JW39" i="1"/>
  <c r="JB39" i="1"/>
  <c r="JP39" i="1"/>
  <c r="TA39" i="1"/>
  <c r="GK39" i="1"/>
  <c r="TC39" i="1"/>
  <c r="KW39" i="1"/>
  <c r="UY14" i="1"/>
  <c r="UL14" i="1"/>
  <c r="EC16" i="1"/>
  <c r="ST16" i="1" s="1"/>
  <c r="SV16" i="1" s="1"/>
  <c r="SP16" i="1"/>
  <c r="SN16" i="1"/>
  <c r="EC37" i="1"/>
  <c r="ST37" i="1" s="1"/>
  <c r="SV37" i="1" s="1"/>
  <c r="SP37" i="1"/>
  <c r="SN37" i="1"/>
  <c r="UY9" i="1"/>
  <c r="UL9" i="1"/>
  <c r="SR21" i="1"/>
  <c r="FW21" i="1"/>
  <c r="JP21" i="1"/>
  <c r="JB21" i="1"/>
  <c r="CI21" i="1"/>
  <c r="CX21" i="1"/>
  <c r="FF21" i="1"/>
  <c r="TA21" i="1"/>
  <c r="EQ21" i="1"/>
  <c r="DN21" i="1"/>
  <c r="JW21" i="1"/>
  <c r="TC21" i="1"/>
  <c r="UL21" i="1" s="1"/>
  <c r="GK21" i="1"/>
  <c r="KW21" i="1"/>
  <c r="SR22" i="1"/>
  <c r="TA22" i="1"/>
  <c r="TC22" i="1"/>
  <c r="PR20" i="1"/>
  <c r="PK20" i="1"/>
  <c r="SR15" i="1"/>
  <c r="JP15" i="1"/>
  <c r="FW15" i="1"/>
  <c r="EQ15" i="1"/>
  <c r="JW15" i="1"/>
  <c r="JB15" i="1"/>
  <c r="DN15" i="1"/>
  <c r="CX15" i="1"/>
  <c r="TA15" i="1"/>
  <c r="FF15" i="1"/>
  <c r="TC15" i="1"/>
  <c r="CI15" i="1"/>
  <c r="GK15" i="1"/>
  <c r="KW15" i="1"/>
  <c r="VR53" i="1"/>
  <c r="PN53" i="1"/>
  <c r="PO53" i="1"/>
  <c r="EC42" i="1"/>
  <c r="ST42" i="1" s="1"/>
  <c r="SV42" i="1" s="1"/>
  <c r="SP42" i="1"/>
  <c r="SN42" i="1"/>
  <c r="EC19" i="1"/>
  <c r="ST19" i="1" s="1"/>
  <c r="SV19" i="1" s="1"/>
  <c r="SP19" i="1"/>
  <c r="SN19" i="1"/>
  <c r="VS9" i="1"/>
  <c r="VW9" i="1" s="1"/>
  <c r="QA9" i="1"/>
  <c r="QB9" i="1"/>
  <c r="ACA19" i="1"/>
  <c r="PS19" i="1"/>
  <c r="UV19" i="1"/>
  <c r="UU19" i="1"/>
  <c r="VS58" i="1"/>
  <c r="QA58" i="1"/>
  <c r="QB58" i="1"/>
  <c r="PR58" i="1"/>
  <c r="PK58" i="1"/>
  <c r="QE48" i="1"/>
  <c r="UV48" i="1" s="1"/>
  <c r="PY48" i="1"/>
  <c r="SR44" i="1"/>
  <c r="JP44" i="1"/>
  <c r="JB44" i="1"/>
  <c r="TA44" i="1"/>
  <c r="DN44" i="1"/>
  <c r="FW44" i="1"/>
  <c r="CX44" i="1"/>
  <c r="CI44" i="1"/>
  <c r="FF44" i="1"/>
  <c r="EQ44" i="1"/>
  <c r="JW44" i="1"/>
  <c r="TC44" i="1"/>
  <c r="GK44" i="1"/>
  <c r="KW44" i="1"/>
  <c r="SR23" i="1"/>
  <c r="FF23" i="1"/>
  <c r="EQ23" i="1"/>
  <c r="DN23" i="1"/>
  <c r="CX23" i="1"/>
  <c r="CI23" i="1"/>
  <c r="FW23" i="1"/>
  <c r="JW23" i="1"/>
  <c r="JB23" i="1"/>
  <c r="JP23" i="1"/>
  <c r="TA23" i="1"/>
  <c r="TC23" i="1"/>
  <c r="KW23" i="1"/>
  <c r="GK23" i="1"/>
  <c r="SR24" i="1"/>
  <c r="DN24" i="1"/>
  <c r="TA24" i="1"/>
  <c r="FW24" i="1"/>
  <c r="CX24" i="1"/>
  <c r="JW24" i="1"/>
  <c r="JP24" i="1"/>
  <c r="EQ24" i="1"/>
  <c r="JB24" i="1"/>
  <c r="FF24" i="1"/>
  <c r="CI24" i="1"/>
  <c r="TC24" i="1"/>
  <c r="GK24" i="1"/>
  <c r="KW24" i="1"/>
  <c r="PG56" i="1"/>
  <c r="PM56" i="1"/>
  <c r="ED34" i="1"/>
  <c r="EE34" i="1" s="1"/>
  <c r="PT57" i="1"/>
  <c r="EB28" i="1"/>
  <c r="JD10" i="1"/>
  <c r="JE10" i="1" s="1"/>
  <c r="FH10" i="1"/>
  <c r="FI10" i="1" s="1"/>
  <c r="CZ10" i="1"/>
  <c r="DA10" i="1" s="1"/>
  <c r="FY10" i="1"/>
  <c r="FZ10" i="1" s="1"/>
  <c r="EB31" i="1"/>
  <c r="PV9" i="1"/>
  <c r="PV22" i="1"/>
  <c r="EB29" i="1"/>
  <c r="PT55" i="1"/>
  <c r="FH30" i="1"/>
  <c r="FI30" i="1" s="1"/>
  <c r="ES30" i="1"/>
  <c r="ET30" i="1" s="1"/>
  <c r="CZ30" i="1"/>
  <c r="DA30" i="1" s="1"/>
  <c r="EB33" i="1"/>
  <c r="VW58" i="1"/>
  <c r="GM34" i="1"/>
  <c r="GN34" i="1" s="1"/>
  <c r="DP34" i="1"/>
  <c r="DQ34" i="1" s="1"/>
  <c r="FY34" i="1"/>
  <c r="FZ34" i="1" s="1"/>
  <c r="ES34" i="1"/>
  <c r="ET34" i="1" s="1"/>
  <c r="CZ34" i="1"/>
  <c r="DA34" i="1" s="1"/>
  <c r="PV50" i="1"/>
  <c r="PV58" i="1"/>
  <c r="EB32" i="1"/>
  <c r="EB40" i="1"/>
  <c r="VW59" i="1"/>
  <c r="SG28" i="1"/>
  <c r="PT47" i="1"/>
  <c r="UL10" i="1"/>
  <c r="EB38" i="1"/>
  <c r="EB39" i="1"/>
  <c r="EB21" i="1"/>
  <c r="EB15" i="1"/>
  <c r="LJ46" i="1"/>
  <c r="UL30" i="1"/>
  <c r="KW28" i="1"/>
  <c r="PT53" i="1"/>
  <c r="UR22" i="1"/>
  <c r="RR22" i="1"/>
  <c r="RS22" i="1" s="1"/>
  <c r="VW22" i="1"/>
  <c r="QG9" i="1"/>
  <c r="QG58" i="1"/>
  <c r="UT14" i="1"/>
  <c r="SG12" i="1"/>
  <c r="SG41" i="1"/>
  <c r="RH48" i="1" l="1"/>
  <c r="RI48" i="1" s="1"/>
  <c r="RL48" i="1" s="1"/>
  <c r="SR10" i="2"/>
  <c r="FW10" i="2"/>
  <c r="DN10" i="2"/>
  <c r="EQ10" i="2"/>
  <c r="CI10" i="2"/>
  <c r="FF10" i="2"/>
  <c r="CX10" i="2"/>
  <c r="TA10" i="2"/>
  <c r="JP10" i="2"/>
  <c r="JB10" i="2"/>
  <c r="JW10" i="2"/>
  <c r="TC10" i="2"/>
  <c r="GK10" i="2"/>
  <c r="KW10" i="2"/>
  <c r="UK14" i="2"/>
  <c r="TO14" i="2"/>
  <c r="TE14" i="2"/>
  <c r="UH14" i="2"/>
  <c r="TG14" i="2"/>
  <c r="SQ14" i="2"/>
  <c r="LA14" i="2"/>
  <c r="CK14" i="2" s="1"/>
  <c r="ED14" i="2"/>
  <c r="EE14" i="2" s="1"/>
  <c r="EB10" i="2"/>
  <c r="JY14" i="2"/>
  <c r="JZ14" i="2" s="1"/>
  <c r="CZ14" i="2"/>
  <c r="DA14" i="2" s="1"/>
  <c r="DP14" i="2"/>
  <c r="DQ14" i="2" s="1"/>
  <c r="UH12" i="2"/>
  <c r="TG12" i="2"/>
  <c r="UK12" i="2"/>
  <c r="TO12" i="2"/>
  <c r="TE12" i="2"/>
  <c r="LA12" i="2"/>
  <c r="JY12" i="2" s="1"/>
  <c r="JZ12" i="2" s="1"/>
  <c r="SQ12" i="2"/>
  <c r="UH11" i="2"/>
  <c r="TG11" i="2"/>
  <c r="UK11" i="2"/>
  <c r="TO11" i="2"/>
  <c r="TE11" i="2"/>
  <c r="LA11" i="2"/>
  <c r="ED11" i="2" s="1"/>
  <c r="EE11" i="2" s="1"/>
  <c r="SQ11" i="2"/>
  <c r="CK11" i="2"/>
  <c r="UY10" i="2"/>
  <c r="UL10" i="2"/>
  <c r="UH13" i="2"/>
  <c r="TG13" i="2"/>
  <c r="UK13" i="2"/>
  <c r="TO13" i="2"/>
  <c r="TE13" i="2"/>
  <c r="LA13" i="2"/>
  <c r="GM13" i="2" s="1"/>
  <c r="GN13" i="2" s="1"/>
  <c r="SQ13" i="2"/>
  <c r="CK13" i="2"/>
  <c r="KY14" i="2"/>
  <c r="KZ14" i="2" s="1"/>
  <c r="ED12" i="2"/>
  <c r="EE12" i="2" s="1"/>
  <c r="ED13" i="2"/>
  <c r="EE13" i="2" s="1"/>
  <c r="GM12" i="2"/>
  <c r="GN12" i="2" s="1"/>
  <c r="JD12" i="2"/>
  <c r="JE12" i="2" s="1"/>
  <c r="CZ12" i="2"/>
  <c r="DA12" i="2" s="1"/>
  <c r="FY12" i="2"/>
  <c r="FZ12" i="2" s="1"/>
  <c r="JD11" i="2"/>
  <c r="JE11" i="2" s="1"/>
  <c r="DP11" i="2"/>
  <c r="DQ11" i="2" s="1"/>
  <c r="FH11" i="2"/>
  <c r="FI11" i="2" s="1"/>
  <c r="JD13" i="2"/>
  <c r="JE13" i="2" s="1"/>
  <c r="JR13" i="2"/>
  <c r="JS13" i="2" s="1"/>
  <c r="DP13" i="2"/>
  <c r="DQ13" i="2" s="1"/>
  <c r="FH13" i="2"/>
  <c r="FI13" i="2" s="1"/>
  <c r="GM14" i="2"/>
  <c r="GN14" i="2" s="1"/>
  <c r="JR14" i="2"/>
  <c r="JS14" i="2" s="1"/>
  <c r="JD14" i="2"/>
  <c r="JE14" i="2" s="1"/>
  <c r="FH14" i="2"/>
  <c r="FI14" i="2" s="1"/>
  <c r="ES14" i="2"/>
  <c r="ET14" i="2" s="1"/>
  <c r="FY14" i="2"/>
  <c r="FZ14" i="2" s="1"/>
  <c r="QH50" i="1"/>
  <c r="QJ50" i="1" s="1"/>
  <c r="RV50" i="1" s="1"/>
  <c r="WU50" i="1"/>
  <c r="WI50" i="1"/>
  <c r="RC50" i="1"/>
  <c r="RD50" i="1" s="1"/>
  <c r="QI50" i="1"/>
  <c r="WV50" i="1"/>
  <c r="YF9" i="1"/>
  <c r="YG9" i="1" s="1"/>
  <c r="YO9" i="1"/>
  <c r="YS9" i="1" s="1"/>
  <c r="WH9" i="1"/>
  <c r="VX9" i="1"/>
  <c r="VY9" i="1"/>
  <c r="QE59" i="1"/>
  <c r="PY59" i="1"/>
  <c r="RH59" i="1"/>
  <c r="RI59" i="1" s="1"/>
  <c r="RL59" i="1" s="1"/>
  <c r="QH11" i="1"/>
  <c r="QJ11" i="1" s="1"/>
  <c r="RV11" i="1" s="1"/>
  <c r="WU11" i="1"/>
  <c r="WI11" i="1"/>
  <c r="RC11" i="1"/>
  <c r="RD11" i="1" s="1"/>
  <c r="QI11" i="1"/>
  <c r="WV11" i="1"/>
  <c r="AAB14" i="1"/>
  <c r="AAA14" i="1"/>
  <c r="PY18" i="1"/>
  <c r="QE18" i="1"/>
  <c r="QE50" i="1"/>
  <c r="PY50" i="1"/>
  <c r="QE11" i="1"/>
  <c r="RH11" i="1" s="1"/>
  <c r="RI11" i="1" s="1"/>
  <c r="RL11" i="1" s="1"/>
  <c r="PY11" i="1"/>
  <c r="QE22" i="1"/>
  <c r="PY22" i="1"/>
  <c r="RH22" i="1"/>
  <c r="RI22" i="1" s="1"/>
  <c r="RL22" i="1" s="1"/>
  <c r="WU58" i="1"/>
  <c r="WI58" i="1"/>
  <c r="RC58" i="1"/>
  <c r="RD58" i="1" s="1"/>
  <c r="QI58" i="1"/>
  <c r="QH58" i="1"/>
  <c r="QJ58" i="1" s="1"/>
  <c r="RV58" i="1" s="1"/>
  <c r="WV58" i="1"/>
  <c r="YF22" i="1"/>
  <c r="YG22" i="1" s="1"/>
  <c r="YO22" i="1"/>
  <c r="YS22" i="1" s="1"/>
  <c r="VX22" i="1"/>
  <c r="WH22" i="1"/>
  <c r="VY22" i="1"/>
  <c r="YZ46" i="1"/>
  <c r="LL46" i="1"/>
  <c r="LK46" i="1"/>
  <c r="PH46" i="1"/>
  <c r="PU47" i="1"/>
  <c r="PZ47" i="1"/>
  <c r="YF59" i="1"/>
  <c r="YG59" i="1" s="1"/>
  <c r="VY59" i="1"/>
  <c r="YO59" i="1"/>
  <c r="YS59" i="1" s="1"/>
  <c r="WH59" i="1"/>
  <c r="VX59" i="1"/>
  <c r="QC50" i="1"/>
  <c r="RE50" i="1" s="1"/>
  <c r="RF50" i="1" s="1"/>
  <c r="PW50" i="1"/>
  <c r="YF58" i="1"/>
  <c r="YG58" i="1" s="1"/>
  <c r="VX58" i="1"/>
  <c r="VY58" i="1"/>
  <c r="YO58" i="1"/>
  <c r="YS58" i="1" s="1"/>
  <c r="WH58" i="1"/>
  <c r="PU55" i="1"/>
  <c r="PZ55" i="1"/>
  <c r="QC22" i="1"/>
  <c r="PW22" i="1"/>
  <c r="ZQ34" i="1"/>
  <c r="ZR34" i="1" s="1"/>
  <c r="ZL34" i="1"/>
  <c r="UH24" i="1"/>
  <c r="TG24" i="1"/>
  <c r="UK24" i="1"/>
  <c r="TO24" i="1"/>
  <c r="TE24" i="1"/>
  <c r="UH23" i="1"/>
  <c r="TG23" i="1"/>
  <c r="UK23" i="1"/>
  <c r="TO23" i="1"/>
  <c r="TE23" i="1"/>
  <c r="SQ23" i="1"/>
  <c r="LA23" i="1"/>
  <c r="CK23" i="1" s="1"/>
  <c r="UK44" i="1"/>
  <c r="TO44" i="1"/>
  <c r="TE44" i="1"/>
  <c r="UH44" i="1"/>
  <c r="TG44" i="1"/>
  <c r="SQ44" i="1"/>
  <c r="LA44" i="1"/>
  <c r="KY44" i="1" s="1"/>
  <c r="KZ44" i="1" s="1"/>
  <c r="ACA58" i="1"/>
  <c r="PS58" i="1"/>
  <c r="UY19" i="1"/>
  <c r="SR42" i="1"/>
  <c r="JP42" i="1"/>
  <c r="TA42" i="1"/>
  <c r="JB42" i="1"/>
  <c r="DN42" i="1"/>
  <c r="CI42" i="1"/>
  <c r="FF42" i="1"/>
  <c r="CX42" i="1"/>
  <c r="EQ42" i="1"/>
  <c r="JW42" i="1"/>
  <c r="FW42" i="1"/>
  <c r="TC42" i="1"/>
  <c r="GK42" i="1"/>
  <c r="KW42" i="1"/>
  <c r="UK15" i="1"/>
  <c r="TO15" i="1"/>
  <c r="TE15" i="1"/>
  <c r="UH15" i="1"/>
  <c r="TG15" i="1"/>
  <c r="ACA20" i="1"/>
  <c r="PS20" i="1"/>
  <c r="UK22" i="1"/>
  <c r="TO22" i="1"/>
  <c r="TE22" i="1"/>
  <c r="UH22" i="1"/>
  <c r="TG22" i="1"/>
  <c r="SQ21" i="1"/>
  <c r="LA21" i="1"/>
  <c r="SR37" i="1"/>
  <c r="JB37" i="1"/>
  <c r="DN37" i="1"/>
  <c r="TA37" i="1"/>
  <c r="JP37" i="1"/>
  <c r="CX37" i="1"/>
  <c r="FW37" i="1"/>
  <c r="CI37" i="1"/>
  <c r="FF37" i="1"/>
  <c r="EQ37" i="1"/>
  <c r="JW37" i="1"/>
  <c r="TC37" i="1"/>
  <c r="KW37" i="1"/>
  <c r="GK37" i="1"/>
  <c r="SR16" i="1"/>
  <c r="FW16" i="1"/>
  <c r="CX16" i="1"/>
  <c r="DN16" i="1"/>
  <c r="FF16" i="1"/>
  <c r="CI16" i="1"/>
  <c r="EQ16" i="1"/>
  <c r="JP16" i="1"/>
  <c r="TA16" i="1"/>
  <c r="JB16" i="1"/>
  <c r="JW16" i="1"/>
  <c r="TC16" i="1"/>
  <c r="GK16" i="1"/>
  <c r="KW16" i="1"/>
  <c r="UK39" i="1"/>
  <c r="TO39" i="1"/>
  <c r="TE39" i="1"/>
  <c r="UH39" i="1"/>
  <c r="TG39" i="1"/>
  <c r="AAQ57" i="1"/>
  <c r="LM57" i="1"/>
  <c r="PJ57" i="1"/>
  <c r="VS19" i="1"/>
  <c r="VW19" i="1" s="1"/>
  <c r="QB19" i="1"/>
  <c r="QA19" i="1"/>
  <c r="UR19" i="1"/>
  <c r="RR19" i="1"/>
  <c r="RS19" i="1" s="1"/>
  <c r="WJ19" i="1"/>
  <c r="VS48" i="1"/>
  <c r="VW48" i="1" s="1"/>
  <c r="QB48" i="1"/>
  <c r="QA48" i="1"/>
  <c r="UR48" i="1"/>
  <c r="RR48" i="1"/>
  <c r="RS48" i="1" s="1"/>
  <c r="WJ48" i="1"/>
  <c r="UH11" i="1"/>
  <c r="TG11" i="1"/>
  <c r="UK11" i="1"/>
  <c r="TO11" i="1"/>
  <c r="TE11" i="1"/>
  <c r="QD11" i="1"/>
  <c r="ZV11" i="1"/>
  <c r="LC30" i="1"/>
  <c r="UX30" i="1"/>
  <c r="LH30" i="1"/>
  <c r="LI30" i="1" s="1"/>
  <c r="LB30" i="1"/>
  <c r="PF30" i="1"/>
  <c r="ED30" i="1"/>
  <c r="EE30" i="1" s="1"/>
  <c r="UH27" i="1"/>
  <c r="TG27" i="1"/>
  <c r="UK27" i="1"/>
  <c r="TO27" i="1"/>
  <c r="TE27" i="1"/>
  <c r="LA27" i="1"/>
  <c r="SQ27" i="1"/>
  <c r="CK27" i="1"/>
  <c r="UH29" i="1"/>
  <c r="TG29" i="1"/>
  <c r="UK29" i="1"/>
  <c r="TO29" i="1"/>
  <c r="TE29" i="1"/>
  <c r="PN46" i="1"/>
  <c r="VR46" i="1"/>
  <c r="PO46" i="1"/>
  <c r="UH31" i="1"/>
  <c r="TG31" i="1"/>
  <c r="UK31" i="1"/>
  <c r="TO31" i="1"/>
  <c r="TE31" i="1"/>
  <c r="LH10" i="1"/>
  <c r="LI10" i="1" s="1"/>
  <c r="LB10" i="1"/>
  <c r="UX10" i="1"/>
  <c r="LC10" i="1"/>
  <c r="PF10" i="1"/>
  <c r="SS10" i="1"/>
  <c r="RN10" i="1"/>
  <c r="UK28" i="1"/>
  <c r="TO28" i="1"/>
  <c r="TE28" i="1"/>
  <c r="UH28" i="1"/>
  <c r="TG28" i="1"/>
  <c r="YZ60" i="1"/>
  <c r="LK60" i="1"/>
  <c r="LL60" i="1"/>
  <c r="PH60" i="1"/>
  <c r="QE14" i="1"/>
  <c r="PY14" i="1"/>
  <c r="RH14" i="1"/>
  <c r="RI14" i="1" s="1"/>
  <c r="RL14" i="1" s="1"/>
  <c r="QC13" i="1"/>
  <c r="RE13" i="1" s="1"/>
  <c r="RF13" i="1" s="1"/>
  <c r="RG13" i="1" s="1"/>
  <c r="PW13" i="1"/>
  <c r="YF52" i="1"/>
  <c r="YG52" i="1" s="1"/>
  <c r="YO52" i="1"/>
  <c r="YS52" i="1" s="1"/>
  <c r="VY52" i="1"/>
  <c r="WH52" i="1"/>
  <c r="VX52" i="1"/>
  <c r="YY52" i="1"/>
  <c r="UY12" i="1"/>
  <c r="LK51" i="1"/>
  <c r="YZ51" i="1"/>
  <c r="LL51" i="1"/>
  <c r="PH51" i="1"/>
  <c r="SR45" i="1"/>
  <c r="JP45" i="1"/>
  <c r="TA45" i="1"/>
  <c r="JB45" i="1"/>
  <c r="DN45" i="1"/>
  <c r="EQ45" i="1"/>
  <c r="JW45" i="1"/>
  <c r="FW45" i="1"/>
  <c r="CX45" i="1"/>
  <c r="FF45" i="1"/>
  <c r="CI45" i="1"/>
  <c r="TC45" i="1"/>
  <c r="GK45" i="1"/>
  <c r="KW45" i="1"/>
  <c r="SR17" i="1"/>
  <c r="FW17" i="1"/>
  <c r="CX17" i="1"/>
  <c r="CI17" i="1"/>
  <c r="EQ17" i="1"/>
  <c r="FF17" i="1"/>
  <c r="DN17" i="1"/>
  <c r="JB17" i="1"/>
  <c r="JP17" i="1"/>
  <c r="TA17" i="1"/>
  <c r="JW17" i="1"/>
  <c r="TC17" i="1"/>
  <c r="GK17" i="1"/>
  <c r="KW17" i="1"/>
  <c r="UK9" i="1"/>
  <c r="TO9" i="1"/>
  <c r="TE9" i="1"/>
  <c r="UH9" i="1"/>
  <c r="TG9" i="1"/>
  <c r="UH38" i="1"/>
  <c r="TG38" i="1"/>
  <c r="UK38" i="1"/>
  <c r="TO38" i="1"/>
  <c r="TE38" i="1"/>
  <c r="PP47" i="1"/>
  <c r="PV47" i="1" s="1"/>
  <c r="PI47" i="1"/>
  <c r="VS20" i="1"/>
  <c r="VW20" i="1" s="1"/>
  <c r="QB20" i="1"/>
  <c r="QA20" i="1"/>
  <c r="UR20" i="1"/>
  <c r="RR20" i="1"/>
  <c r="RS20" i="1" s="1"/>
  <c r="WJ20" i="1"/>
  <c r="PU54" i="1"/>
  <c r="PZ54" i="1"/>
  <c r="YZ49" i="1"/>
  <c r="LK49" i="1"/>
  <c r="LL49" i="1"/>
  <c r="PH49" i="1"/>
  <c r="PO49" i="1"/>
  <c r="VR49" i="1"/>
  <c r="PN49" i="1"/>
  <c r="SR36" i="1"/>
  <c r="DN36" i="1"/>
  <c r="JB36" i="1"/>
  <c r="JP36" i="1"/>
  <c r="CX36" i="1"/>
  <c r="TA36" i="1"/>
  <c r="FF36" i="1"/>
  <c r="FW36" i="1"/>
  <c r="EQ36" i="1"/>
  <c r="JW36" i="1"/>
  <c r="CI36" i="1"/>
  <c r="TC36" i="1"/>
  <c r="GK36" i="1"/>
  <c r="KW36" i="1"/>
  <c r="UH32" i="1"/>
  <c r="TG32" i="1"/>
  <c r="UK32" i="1"/>
  <c r="TO32" i="1"/>
  <c r="TE32" i="1"/>
  <c r="SS34" i="1"/>
  <c r="RN34" i="1"/>
  <c r="UK33" i="1"/>
  <c r="TO33" i="1"/>
  <c r="TE33" i="1"/>
  <c r="UH33" i="1"/>
  <c r="TG33" i="1"/>
  <c r="SQ33" i="1"/>
  <c r="LA33" i="1"/>
  <c r="KY33" i="1" s="1"/>
  <c r="KZ33" i="1" s="1"/>
  <c r="CK33" i="1"/>
  <c r="UK13" i="1"/>
  <c r="TO13" i="1"/>
  <c r="TE13" i="1"/>
  <c r="UH13" i="1"/>
  <c r="TG13" i="1"/>
  <c r="UK43" i="1"/>
  <c r="TO43" i="1"/>
  <c r="TE43" i="1"/>
  <c r="UH43" i="1"/>
  <c r="TG43" i="1"/>
  <c r="PO60" i="1"/>
  <c r="VR60" i="1"/>
  <c r="PN60" i="1"/>
  <c r="SR41" i="1"/>
  <c r="JB41" i="1"/>
  <c r="DN41" i="1"/>
  <c r="TA41" i="1"/>
  <c r="JP41" i="1"/>
  <c r="FF41" i="1"/>
  <c r="CI41" i="1"/>
  <c r="FW41" i="1"/>
  <c r="CX41" i="1"/>
  <c r="EQ41" i="1"/>
  <c r="JW41" i="1"/>
  <c r="TC41" i="1"/>
  <c r="GK41" i="1"/>
  <c r="KW41" i="1"/>
  <c r="SR35" i="1"/>
  <c r="FW35" i="1"/>
  <c r="EQ35" i="1"/>
  <c r="DN35" i="1"/>
  <c r="CI35" i="1"/>
  <c r="CX35" i="1"/>
  <c r="FF35" i="1"/>
  <c r="JB35" i="1"/>
  <c r="JP35" i="1"/>
  <c r="TA35" i="1"/>
  <c r="JW35" i="1"/>
  <c r="TC35" i="1"/>
  <c r="GK35" i="1"/>
  <c r="KW35" i="1"/>
  <c r="QE13" i="1"/>
  <c r="PY13" i="1"/>
  <c r="RH13" i="1"/>
  <c r="RI13" i="1" s="1"/>
  <c r="RL13" i="1" s="1"/>
  <c r="PP53" i="1"/>
  <c r="PV53" i="1" s="1"/>
  <c r="PI53" i="1"/>
  <c r="YY53" i="1"/>
  <c r="ACA9" i="1"/>
  <c r="PS9" i="1"/>
  <c r="SR25" i="1"/>
  <c r="FF25" i="1"/>
  <c r="EQ25" i="1"/>
  <c r="DN25" i="1"/>
  <c r="CX25" i="1"/>
  <c r="CI25" i="1"/>
  <c r="FW25" i="1"/>
  <c r="JP25" i="1"/>
  <c r="JB25" i="1"/>
  <c r="TA25" i="1"/>
  <c r="JW25" i="1"/>
  <c r="TC25" i="1"/>
  <c r="GK25" i="1"/>
  <c r="KW25" i="1"/>
  <c r="QD18" i="1"/>
  <c r="ZV18" i="1"/>
  <c r="PP55" i="1"/>
  <c r="PI55" i="1"/>
  <c r="QB18" i="1"/>
  <c r="VS18" i="1"/>
  <c r="VW18" i="1" s="1"/>
  <c r="QA18" i="1"/>
  <c r="UR18" i="1"/>
  <c r="RR18" i="1"/>
  <c r="RS18" i="1" s="1"/>
  <c r="WJ18" i="1"/>
  <c r="ZV59" i="1"/>
  <c r="QD59" i="1"/>
  <c r="XN13" i="1"/>
  <c r="WQ13" i="1"/>
  <c r="WS13" i="1" s="1"/>
  <c r="WR13" i="1"/>
  <c r="XQ13" i="1"/>
  <c r="VZ13" i="1"/>
  <c r="VU13" i="1"/>
  <c r="GM23" i="1"/>
  <c r="GN23" i="1" s="1"/>
  <c r="JR23" i="1"/>
  <c r="JS23" i="1" s="1"/>
  <c r="JY23" i="1"/>
  <c r="JZ23" i="1" s="1"/>
  <c r="DP23" i="1"/>
  <c r="DQ23" i="1" s="1"/>
  <c r="FH23" i="1"/>
  <c r="FI23" i="1" s="1"/>
  <c r="ES44" i="1"/>
  <c r="ET44" i="1" s="1"/>
  <c r="FY44" i="1"/>
  <c r="FZ44" i="1" s="1"/>
  <c r="JR44" i="1"/>
  <c r="JS44" i="1" s="1"/>
  <c r="GM21" i="1"/>
  <c r="GN21" i="1" s="1"/>
  <c r="JY21" i="1"/>
  <c r="JZ21" i="1" s="1"/>
  <c r="ES21" i="1"/>
  <c r="ET21" i="1" s="1"/>
  <c r="FH21" i="1"/>
  <c r="FI21" i="1" s="1"/>
  <c r="JR21" i="1"/>
  <c r="JS21" i="1" s="1"/>
  <c r="EB16" i="1"/>
  <c r="KY30" i="1"/>
  <c r="KZ30" i="1" s="1"/>
  <c r="JR27" i="1"/>
  <c r="JS27" i="1" s="1"/>
  <c r="DP27" i="1"/>
  <c r="DQ27" i="1" s="1"/>
  <c r="FH27" i="1"/>
  <c r="FI27" i="1" s="1"/>
  <c r="PT46" i="1"/>
  <c r="ZZ18" i="1"/>
  <c r="DP30" i="1"/>
  <c r="DQ30" i="1" s="1"/>
  <c r="JD30" i="1"/>
  <c r="JE30" i="1" s="1"/>
  <c r="JR30" i="1"/>
  <c r="JS30" i="1" s="1"/>
  <c r="ES10" i="1"/>
  <c r="ET10" i="1" s="1"/>
  <c r="JY10" i="1"/>
  <c r="JZ10" i="1" s="1"/>
  <c r="UL24" i="1"/>
  <c r="UL23" i="1"/>
  <c r="UL44" i="1"/>
  <c r="EB17" i="1"/>
  <c r="UL22" i="1"/>
  <c r="UL39" i="1"/>
  <c r="EB36" i="1"/>
  <c r="JY33" i="1"/>
  <c r="JZ33" i="1" s="1"/>
  <c r="FY33" i="1"/>
  <c r="FZ33" i="1" s="1"/>
  <c r="DP33" i="1"/>
  <c r="DQ33" i="1" s="1"/>
  <c r="JR33" i="1"/>
  <c r="JS33" i="1" s="1"/>
  <c r="US11" i="1"/>
  <c r="EB35" i="1"/>
  <c r="UL27" i="1"/>
  <c r="UL29" i="1"/>
  <c r="UL31" i="1"/>
  <c r="UL28" i="1"/>
  <c r="WU9" i="1"/>
  <c r="WI9" i="1"/>
  <c r="RC9" i="1"/>
  <c r="RD9" i="1" s="1"/>
  <c r="QI9" i="1"/>
  <c r="QH9" i="1"/>
  <c r="QJ9" i="1" s="1"/>
  <c r="RV9" i="1" s="1"/>
  <c r="WV9" i="1"/>
  <c r="PZ53" i="1"/>
  <c r="QG53" i="1" s="1"/>
  <c r="PU53" i="1"/>
  <c r="QC58" i="1"/>
  <c r="RE58" i="1" s="1"/>
  <c r="RF58" i="1" s="1"/>
  <c r="RG58" i="1" s="1"/>
  <c r="PW58" i="1"/>
  <c r="QC9" i="1"/>
  <c r="PW9" i="1"/>
  <c r="PZ57" i="1"/>
  <c r="PU57" i="1"/>
  <c r="VR56" i="1"/>
  <c r="PN56" i="1"/>
  <c r="PO56" i="1"/>
  <c r="LA24" i="1"/>
  <c r="FH24" i="1" s="1"/>
  <c r="FI24" i="1" s="1"/>
  <c r="SQ24" i="1"/>
  <c r="CK24" i="1"/>
  <c r="KY23" i="1"/>
  <c r="KZ23" i="1" s="1"/>
  <c r="QF48" i="1"/>
  <c r="ACB48" i="1"/>
  <c r="SR19" i="1"/>
  <c r="TA19" i="1"/>
  <c r="TC19" i="1"/>
  <c r="UY42" i="1"/>
  <c r="UL42" i="1"/>
  <c r="SQ15" i="1"/>
  <c r="LA15" i="1"/>
  <c r="DP15" i="1" s="1"/>
  <c r="DQ15" i="1" s="1"/>
  <c r="KY21" i="1"/>
  <c r="KZ21" i="1" s="1"/>
  <c r="UH21" i="1"/>
  <c r="TG21" i="1"/>
  <c r="UK21" i="1"/>
  <c r="TO21" i="1"/>
  <c r="TE21" i="1"/>
  <c r="UY37" i="1"/>
  <c r="UL37" i="1"/>
  <c r="UY16" i="1"/>
  <c r="UL16" i="1"/>
  <c r="SQ39" i="1"/>
  <c r="LA39" i="1"/>
  <c r="CK39" i="1" s="1"/>
  <c r="ACA59" i="1"/>
  <c r="PS59" i="1"/>
  <c r="UU59" i="1"/>
  <c r="UV59" i="1"/>
  <c r="PP57" i="1"/>
  <c r="PV57" i="1" s="1"/>
  <c r="PI57" i="1"/>
  <c r="YY57" i="1"/>
  <c r="QB11" i="1"/>
  <c r="VS11" i="1"/>
  <c r="VW11" i="1" s="1"/>
  <c r="QA11" i="1"/>
  <c r="RR11" i="1"/>
  <c r="RS11" i="1" s="1"/>
  <c r="UR11" i="1"/>
  <c r="WJ11" i="1"/>
  <c r="WU19" i="1"/>
  <c r="WI19" i="1"/>
  <c r="QH19" i="1"/>
  <c r="QJ19" i="1" s="1"/>
  <c r="RV19" i="1" s="1"/>
  <c r="RC19" i="1"/>
  <c r="RD19" i="1" s="1"/>
  <c r="QI19" i="1"/>
  <c r="WV19" i="1"/>
  <c r="VS50" i="1"/>
  <c r="VW50" i="1" s="1"/>
  <c r="QB50" i="1"/>
  <c r="QA50" i="1"/>
  <c r="UR50" i="1"/>
  <c r="RR50" i="1"/>
  <c r="RS50" i="1" s="1"/>
  <c r="WJ50" i="1"/>
  <c r="WU48" i="1"/>
  <c r="WI48" i="1"/>
  <c r="QH48" i="1"/>
  <c r="QJ48" i="1" s="1"/>
  <c r="RV48" i="1" s="1"/>
  <c r="RC48" i="1"/>
  <c r="RD48" i="1" s="1"/>
  <c r="QI48" i="1"/>
  <c r="WV48" i="1"/>
  <c r="YZ54" i="1"/>
  <c r="LL54" i="1"/>
  <c r="LK54" i="1"/>
  <c r="PH54" i="1"/>
  <c r="UH18" i="1"/>
  <c r="TG18" i="1"/>
  <c r="TO18" i="1"/>
  <c r="TE18" i="1"/>
  <c r="UK18" i="1"/>
  <c r="CL30" i="1"/>
  <c r="SS30" i="1"/>
  <c r="RN30" i="1"/>
  <c r="SQ29" i="1"/>
  <c r="LA29" i="1"/>
  <c r="JY29" i="1" s="1"/>
  <c r="JZ29" i="1" s="1"/>
  <c r="SQ31" i="1"/>
  <c r="LA31" i="1"/>
  <c r="KY31" i="1" s="1"/>
  <c r="KZ31" i="1" s="1"/>
  <c r="ACA18" i="1"/>
  <c r="PS18" i="1"/>
  <c r="UV18" i="1"/>
  <c r="UU18" i="1"/>
  <c r="SQ28" i="1"/>
  <c r="LA28" i="1"/>
  <c r="JY28" i="1" s="1"/>
  <c r="JZ28" i="1" s="1"/>
  <c r="ZV48" i="1"/>
  <c r="ZZ48" i="1" s="1"/>
  <c r="QD48" i="1"/>
  <c r="UT48" i="1"/>
  <c r="US48" i="1"/>
  <c r="ZV19" i="1"/>
  <c r="ZZ19" i="1" s="1"/>
  <c r="QD19" i="1"/>
  <c r="US19" i="1"/>
  <c r="UT19" i="1"/>
  <c r="WU59" i="1"/>
  <c r="WI59" i="1"/>
  <c r="RC59" i="1"/>
  <c r="RD59" i="1" s="1"/>
  <c r="QI59" i="1"/>
  <c r="QH59" i="1"/>
  <c r="QJ59" i="1" s="1"/>
  <c r="RV59" i="1" s="1"/>
  <c r="WV59" i="1"/>
  <c r="RC52" i="1"/>
  <c r="RD52" i="1" s="1"/>
  <c r="QI52" i="1"/>
  <c r="WU52" i="1"/>
  <c r="WI52" i="1"/>
  <c r="QH52" i="1"/>
  <c r="QJ52" i="1" s="1"/>
  <c r="RV52" i="1" s="1"/>
  <c r="WV52" i="1"/>
  <c r="WU22" i="1"/>
  <c r="WI22" i="1"/>
  <c r="RC22" i="1"/>
  <c r="RD22" i="1" s="1"/>
  <c r="QI22" i="1"/>
  <c r="QH22" i="1"/>
  <c r="QJ22" i="1" s="1"/>
  <c r="RV22" i="1" s="1"/>
  <c r="WV22" i="1"/>
  <c r="PP52" i="1"/>
  <c r="PV52" i="1" s="1"/>
  <c r="PI52" i="1"/>
  <c r="AAQ52" i="1"/>
  <c r="LM52" i="1"/>
  <c r="PJ52" i="1"/>
  <c r="SR12" i="1"/>
  <c r="JP12" i="1"/>
  <c r="CX12" i="1"/>
  <c r="JB12" i="1"/>
  <c r="DN12" i="1"/>
  <c r="TA12" i="1"/>
  <c r="FW12" i="1"/>
  <c r="FF12" i="1"/>
  <c r="CI12" i="1"/>
  <c r="EQ12" i="1"/>
  <c r="JW12" i="1"/>
  <c r="TC12" i="1"/>
  <c r="GK12" i="1"/>
  <c r="KW12" i="1"/>
  <c r="VR51" i="1"/>
  <c r="PN51" i="1"/>
  <c r="PO51" i="1"/>
  <c r="LK56" i="1"/>
  <c r="YZ56" i="1"/>
  <c r="LL56" i="1"/>
  <c r="PH56" i="1"/>
  <c r="UY45" i="1"/>
  <c r="UL45" i="1"/>
  <c r="UY17" i="1"/>
  <c r="UL17" i="1"/>
  <c r="ACA50" i="1"/>
  <c r="PS50" i="1"/>
  <c r="UV50" i="1"/>
  <c r="UU50" i="1"/>
  <c r="ACA11" i="1"/>
  <c r="PS11" i="1"/>
  <c r="UV11" i="1"/>
  <c r="UU11" i="1"/>
  <c r="UK14" i="1"/>
  <c r="TO14" i="1"/>
  <c r="TE14" i="1"/>
  <c r="UH14" i="1"/>
  <c r="TG14" i="1"/>
  <c r="SQ38" i="1"/>
  <c r="LA38" i="1"/>
  <c r="KY38" i="1" s="1"/>
  <c r="KZ38" i="1" s="1"/>
  <c r="LM47" i="1"/>
  <c r="AAQ47" i="1"/>
  <c r="PJ47" i="1"/>
  <c r="YY47" i="1"/>
  <c r="VR54" i="1"/>
  <c r="PO54" i="1"/>
  <c r="PN54" i="1"/>
  <c r="WJ54" i="1"/>
  <c r="RR54" i="1"/>
  <c r="RS54" i="1" s="1"/>
  <c r="UR54" i="1"/>
  <c r="PU49" i="1"/>
  <c r="PZ49" i="1"/>
  <c r="UY36" i="1"/>
  <c r="UL36" i="1"/>
  <c r="UH40" i="1"/>
  <c r="TG40" i="1"/>
  <c r="UK40" i="1"/>
  <c r="TO40" i="1"/>
  <c r="TE40" i="1"/>
  <c r="LA40" i="1"/>
  <c r="SQ40" i="1"/>
  <c r="CK40" i="1"/>
  <c r="SQ32" i="1"/>
  <c r="LA32" i="1"/>
  <c r="CK32" i="1"/>
  <c r="UX34" i="1"/>
  <c r="LH34" i="1"/>
  <c r="LI34" i="1" s="1"/>
  <c r="LB34" i="1"/>
  <c r="LC34" i="1"/>
  <c r="PF34" i="1"/>
  <c r="UH26" i="1"/>
  <c r="TG26" i="1"/>
  <c r="UK26" i="1"/>
  <c r="TO26" i="1"/>
  <c r="TE26" i="1"/>
  <c r="SQ26" i="1"/>
  <c r="LA26" i="1"/>
  <c r="KY26" i="1" s="1"/>
  <c r="KZ26" i="1" s="1"/>
  <c r="SQ43" i="1"/>
  <c r="LA43" i="1"/>
  <c r="ED43" i="1" s="1"/>
  <c r="EE43" i="1" s="1"/>
  <c r="UY41" i="1"/>
  <c r="UL41" i="1"/>
  <c r="UY35" i="1"/>
  <c r="UL35" i="1"/>
  <c r="UK20" i="1"/>
  <c r="TO20" i="1"/>
  <c r="TE20" i="1"/>
  <c r="UH20" i="1"/>
  <c r="TG20" i="1"/>
  <c r="ACA13" i="1"/>
  <c r="PS13" i="1"/>
  <c r="UU13" i="1"/>
  <c r="UV13" i="1"/>
  <c r="AAQ53" i="1"/>
  <c r="LM53" i="1"/>
  <c r="PJ53" i="1"/>
  <c r="ACA22" i="1"/>
  <c r="PS22" i="1"/>
  <c r="UV22" i="1"/>
  <c r="UU22" i="1"/>
  <c r="UY25" i="1"/>
  <c r="UL25" i="1"/>
  <c r="LM55" i="1"/>
  <c r="AAQ55" i="1"/>
  <c r="PJ55" i="1"/>
  <c r="YY55" i="1"/>
  <c r="ZV20" i="1"/>
  <c r="ZZ20" i="1" s="1"/>
  <c r="QD20" i="1"/>
  <c r="QF19" i="1"/>
  <c r="ACB19" i="1"/>
  <c r="ACG19" i="1" s="1"/>
  <c r="WB13" i="1"/>
  <c r="YQ13" i="1"/>
  <c r="YT13" i="1" s="1"/>
  <c r="WG13" i="1"/>
  <c r="ED21" i="1"/>
  <c r="EE21" i="1" s="1"/>
  <c r="ED40" i="1"/>
  <c r="EE40" i="1" s="1"/>
  <c r="ED33" i="1"/>
  <c r="EE33" i="1" s="1"/>
  <c r="ED29" i="1"/>
  <c r="EE29" i="1" s="1"/>
  <c r="PT56" i="1"/>
  <c r="GM24" i="1"/>
  <c r="GN24" i="1" s="1"/>
  <c r="JR24" i="1"/>
  <c r="JS24" i="1" s="1"/>
  <c r="JD23" i="1"/>
  <c r="JE23" i="1" s="1"/>
  <c r="FY23" i="1"/>
  <c r="FZ23" i="1" s="1"/>
  <c r="CZ23" i="1"/>
  <c r="DA23" i="1" s="1"/>
  <c r="ES23" i="1"/>
  <c r="ET23" i="1" s="1"/>
  <c r="GM44" i="1"/>
  <c r="GN44" i="1" s="1"/>
  <c r="JY44" i="1"/>
  <c r="JZ44" i="1" s="1"/>
  <c r="FH44" i="1"/>
  <c r="FI44" i="1" s="1"/>
  <c r="CZ44" i="1"/>
  <c r="DA44" i="1" s="1"/>
  <c r="DP44" i="1"/>
  <c r="DQ44" i="1" s="1"/>
  <c r="JD44" i="1"/>
  <c r="JE44" i="1" s="1"/>
  <c r="PX58" i="1"/>
  <c r="EB42" i="1"/>
  <c r="FH15" i="1"/>
  <c r="FI15" i="1" s="1"/>
  <c r="JD15" i="1"/>
  <c r="JE15" i="1" s="1"/>
  <c r="JR15" i="1"/>
  <c r="JS15" i="1" s="1"/>
  <c r="PX20" i="1"/>
  <c r="DP21" i="1"/>
  <c r="DQ21" i="1" s="1"/>
  <c r="CZ21" i="1"/>
  <c r="DA21" i="1" s="1"/>
  <c r="JD21" i="1"/>
  <c r="JE21" i="1" s="1"/>
  <c r="FY21" i="1"/>
  <c r="FZ21" i="1" s="1"/>
  <c r="EB37" i="1"/>
  <c r="JR39" i="1"/>
  <c r="JS39" i="1" s="1"/>
  <c r="DP39" i="1"/>
  <c r="DQ39" i="1" s="1"/>
  <c r="ZZ59" i="1"/>
  <c r="RE11" i="1"/>
  <c r="RF11" i="1" s="1"/>
  <c r="GM27" i="1"/>
  <c r="GN27" i="1" s="1"/>
  <c r="JY27" i="1"/>
  <c r="JZ27" i="1" s="1"/>
  <c r="JD27" i="1"/>
  <c r="JE27" i="1" s="1"/>
  <c r="FY27" i="1"/>
  <c r="FZ27" i="1" s="1"/>
  <c r="CZ27" i="1"/>
  <c r="DA27" i="1" s="1"/>
  <c r="ES27" i="1"/>
  <c r="ET27" i="1" s="1"/>
  <c r="GM29" i="1"/>
  <c r="GN29" i="1" s="1"/>
  <c r="DP29" i="1"/>
  <c r="DQ29" i="1" s="1"/>
  <c r="JR29" i="1"/>
  <c r="JS29" i="1" s="1"/>
  <c r="ES31" i="1"/>
  <c r="ET31" i="1" s="1"/>
  <c r="FY31" i="1"/>
  <c r="FZ31" i="1" s="1"/>
  <c r="CK10" i="1"/>
  <c r="KY10" i="1"/>
  <c r="KZ10" i="1" s="1"/>
  <c r="GM28" i="1"/>
  <c r="GN28" i="1" s="1"/>
  <c r="CZ28" i="1"/>
  <c r="DA28" i="1" s="1"/>
  <c r="FY30" i="1"/>
  <c r="FZ30" i="1" s="1"/>
  <c r="JY30" i="1"/>
  <c r="JZ30" i="1" s="1"/>
  <c r="GM30" i="1"/>
  <c r="GN30" i="1" s="1"/>
  <c r="JR10" i="1"/>
  <c r="JS10" i="1" s="1"/>
  <c r="DP10" i="1"/>
  <c r="DQ10" i="1" s="1"/>
  <c r="GM10" i="1"/>
  <c r="GN10" i="1" s="1"/>
  <c r="ED10" i="1"/>
  <c r="EE10" i="1" s="1"/>
  <c r="EB12" i="1"/>
  <c r="PT51" i="1"/>
  <c r="UU48" i="1"/>
  <c r="ACG48" i="1"/>
  <c r="EB45" i="1"/>
  <c r="UL15" i="1"/>
  <c r="ES38" i="1"/>
  <c r="ET38" i="1" s="1"/>
  <c r="JR38" i="1"/>
  <c r="JS38" i="1" s="1"/>
  <c r="QG20" i="1"/>
  <c r="JR40" i="1"/>
  <c r="JS40" i="1" s="1"/>
  <c r="DP40" i="1"/>
  <c r="DQ40" i="1" s="1"/>
  <c r="FH40" i="1"/>
  <c r="FI40" i="1" s="1"/>
  <c r="GM32" i="1"/>
  <c r="GN32" i="1" s="1"/>
  <c r="DP32" i="1"/>
  <c r="DQ32" i="1" s="1"/>
  <c r="JR32" i="1"/>
  <c r="JS32" i="1" s="1"/>
  <c r="JD32" i="1"/>
  <c r="JE32" i="1" s="1"/>
  <c r="UL18" i="1"/>
  <c r="UL11" i="1"/>
  <c r="CK34" i="1"/>
  <c r="GM33" i="1"/>
  <c r="GN33" i="1" s="1"/>
  <c r="FH33" i="1"/>
  <c r="FI33" i="1" s="1"/>
  <c r="ES33" i="1"/>
  <c r="ET33" i="1" s="1"/>
  <c r="CZ33" i="1"/>
  <c r="DA33" i="1" s="1"/>
  <c r="JD33" i="1"/>
  <c r="JE33" i="1" s="1"/>
  <c r="ES26" i="1"/>
  <c r="ET26" i="1" s="1"/>
  <c r="GM43" i="1"/>
  <c r="GN43" i="1" s="1"/>
  <c r="ES43" i="1"/>
  <c r="ET43" i="1" s="1"/>
  <c r="UT11" i="1"/>
  <c r="ZZ11" i="1"/>
  <c r="PT60" i="1"/>
  <c r="EB41" i="1"/>
  <c r="PX9" i="1"/>
  <c r="EB25" i="1"/>
  <c r="RE18" i="1"/>
  <c r="RF18" i="1" s="1"/>
  <c r="QG18" i="1"/>
  <c r="RE59" i="1"/>
  <c r="RF59" i="1" s="1"/>
  <c r="RG59" i="1" s="1"/>
  <c r="CK44" i="1" l="1"/>
  <c r="JR43" i="1"/>
  <c r="JS43" i="1" s="1"/>
  <c r="JD43" i="1"/>
  <c r="JE43" i="1" s="1"/>
  <c r="FH26" i="1"/>
  <c r="FI26" i="1" s="1"/>
  <c r="JR26" i="1"/>
  <c r="JS26" i="1" s="1"/>
  <c r="CZ38" i="1"/>
  <c r="DA38" i="1" s="1"/>
  <c r="GM38" i="1"/>
  <c r="GN38" i="1" s="1"/>
  <c r="DP28" i="1"/>
  <c r="DQ28" i="1" s="1"/>
  <c r="DP31" i="1"/>
  <c r="DQ31" i="1" s="1"/>
  <c r="JY31" i="1"/>
  <c r="JZ31" i="1" s="1"/>
  <c r="GM31" i="1"/>
  <c r="GN31" i="1" s="1"/>
  <c r="ES29" i="1"/>
  <c r="ET29" i="1" s="1"/>
  <c r="FH39" i="1"/>
  <c r="FI39" i="1" s="1"/>
  <c r="JY39" i="1"/>
  <c r="JZ39" i="1" s="1"/>
  <c r="GM39" i="1"/>
  <c r="GN39" i="1" s="1"/>
  <c r="ES15" i="1"/>
  <c r="ET15" i="1" s="1"/>
  <c r="CZ15" i="1"/>
  <c r="DA15" i="1" s="1"/>
  <c r="CZ24" i="1"/>
  <c r="DA24" i="1" s="1"/>
  <c r="JD24" i="1"/>
  <c r="JE24" i="1" s="1"/>
  <c r="ED39" i="1"/>
  <c r="EE39" i="1" s="1"/>
  <c r="ZL39" i="1" s="1"/>
  <c r="ED15" i="1"/>
  <c r="EE15" i="1" s="1"/>
  <c r="CK43" i="1"/>
  <c r="CL43" i="1" s="1"/>
  <c r="CK38" i="1"/>
  <c r="ZQ11" i="2"/>
  <c r="ZR11" i="2" s="1"/>
  <c r="ZL11" i="2"/>
  <c r="LJ14" i="2"/>
  <c r="CL14" i="2"/>
  <c r="ZQ12" i="2"/>
  <c r="ZR12" i="2" s="1"/>
  <c r="ZL12" i="2"/>
  <c r="SS13" i="2"/>
  <c r="RN13" i="2"/>
  <c r="SS11" i="2"/>
  <c r="RN11" i="2"/>
  <c r="SQ10" i="2"/>
  <c r="LA10" i="2"/>
  <c r="CK12" i="2"/>
  <c r="ES13" i="2"/>
  <c r="ET13" i="2" s="1"/>
  <c r="FY13" i="2"/>
  <c r="FZ13" i="2" s="1"/>
  <c r="ES11" i="2"/>
  <c r="ET11" i="2" s="1"/>
  <c r="FY11" i="2"/>
  <c r="FZ11" i="2" s="1"/>
  <c r="JY11" i="2"/>
  <c r="JZ11" i="2" s="1"/>
  <c r="FH12" i="2"/>
  <c r="FI12" i="2" s="1"/>
  <c r="ES12" i="2"/>
  <c r="ET12" i="2" s="1"/>
  <c r="GM10" i="2"/>
  <c r="GN10" i="2" s="1"/>
  <c r="JY10" i="2"/>
  <c r="JZ10" i="2" s="1"/>
  <c r="JR10" i="2"/>
  <c r="JS10" i="2" s="1"/>
  <c r="CZ10" i="2"/>
  <c r="DA10" i="2" s="1"/>
  <c r="DP10" i="2"/>
  <c r="DQ10" i="2" s="1"/>
  <c r="ZQ13" i="2"/>
  <c r="ZR13" i="2" s="1"/>
  <c r="ZL13" i="2"/>
  <c r="CL13" i="2"/>
  <c r="UX13" i="2"/>
  <c r="LC13" i="2"/>
  <c r="LH13" i="2"/>
  <c r="LI13" i="2" s="1"/>
  <c r="LB13" i="2"/>
  <c r="PF13" i="2"/>
  <c r="CL11" i="2"/>
  <c r="UX11" i="2"/>
  <c r="LC11" i="2"/>
  <c r="LH11" i="2"/>
  <c r="LI11" i="2" s="1"/>
  <c r="LB11" i="2"/>
  <c r="PF11" i="2"/>
  <c r="SS12" i="2"/>
  <c r="RN12" i="2"/>
  <c r="UX12" i="2"/>
  <c r="LC12" i="2"/>
  <c r="LH12" i="2"/>
  <c r="LI12" i="2" s="1"/>
  <c r="LB12" i="2"/>
  <c r="PF12" i="2"/>
  <c r="ZL14" i="2"/>
  <c r="ZQ14" i="2"/>
  <c r="ZR14" i="2" s="1"/>
  <c r="LH14" i="2"/>
  <c r="LI14" i="2" s="1"/>
  <c r="LB14" i="2"/>
  <c r="UX14" i="2"/>
  <c r="LC14" i="2"/>
  <c r="PF14" i="2"/>
  <c r="SS14" i="2"/>
  <c r="RN14" i="2"/>
  <c r="KY10" i="2"/>
  <c r="KZ10" i="2" s="1"/>
  <c r="UK10" i="2"/>
  <c r="TO10" i="2"/>
  <c r="TE10" i="2"/>
  <c r="UH10" i="2"/>
  <c r="TG10" i="2"/>
  <c r="KY13" i="2"/>
  <c r="KZ13" i="2" s="1"/>
  <c r="KY11" i="2"/>
  <c r="KZ11" i="2" s="1"/>
  <c r="CZ13" i="2"/>
  <c r="DA13" i="2" s="1"/>
  <c r="JY13" i="2"/>
  <c r="JZ13" i="2" s="1"/>
  <c r="ED10" i="2"/>
  <c r="EE10" i="2" s="1"/>
  <c r="CZ11" i="2"/>
  <c r="DA11" i="2" s="1"/>
  <c r="JR11" i="2"/>
  <c r="JS11" i="2" s="1"/>
  <c r="GM11" i="2"/>
  <c r="GN11" i="2" s="1"/>
  <c r="DP12" i="2"/>
  <c r="DQ12" i="2" s="1"/>
  <c r="JR12" i="2"/>
  <c r="JS12" i="2" s="1"/>
  <c r="JD10" i="2"/>
  <c r="JE10" i="2" s="1"/>
  <c r="FH10" i="2"/>
  <c r="FI10" i="2" s="1"/>
  <c r="ES10" i="2"/>
  <c r="ET10" i="2" s="1"/>
  <c r="FY10" i="2"/>
  <c r="FZ10" i="2" s="1"/>
  <c r="KY12" i="2"/>
  <c r="KZ12" i="2" s="1"/>
  <c r="ADQ19" i="1"/>
  <c r="ADR19" i="1" s="1"/>
  <c r="ACH19" i="1"/>
  <c r="ACJ19" i="1"/>
  <c r="ADY19" i="1"/>
  <c r="AEC19" i="1" s="1"/>
  <c r="ACI19" i="1"/>
  <c r="QH53" i="1"/>
  <c r="QJ53" i="1" s="1"/>
  <c r="RV53" i="1" s="1"/>
  <c r="WU53" i="1"/>
  <c r="WI53" i="1"/>
  <c r="RC53" i="1"/>
  <c r="RD53" i="1" s="1"/>
  <c r="QI53" i="1"/>
  <c r="WV53" i="1"/>
  <c r="AAB20" i="1"/>
  <c r="AAA20" i="1"/>
  <c r="ZL43" i="1"/>
  <c r="ZQ43" i="1"/>
  <c r="ZR43" i="1" s="1"/>
  <c r="QC57" i="1"/>
  <c r="RE57" i="1" s="1"/>
  <c r="RF57" i="1" s="1"/>
  <c r="PW57" i="1"/>
  <c r="QC53" i="1"/>
  <c r="RE53" i="1" s="1"/>
  <c r="RF53" i="1" s="1"/>
  <c r="PW53" i="1"/>
  <c r="QC47" i="1"/>
  <c r="RE47" i="1" s="1"/>
  <c r="RF47" i="1" s="1"/>
  <c r="PW47" i="1"/>
  <c r="QH18" i="1"/>
  <c r="QJ18" i="1" s="1"/>
  <c r="RV18" i="1" s="1"/>
  <c r="WU18" i="1"/>
  <c r="WI18" i="1"/>
  <c r="RC18" i="1"/>
  <c r="RD18" i="1" s="1"/>
  <c r="QI18" i="1"/>
  <c r="WV18" i="1"/>
  <c r="AAB11" i="1"/>
  <c r="AAA11" i="1"/>
  <c r="LJ34" i="1"/>
  <c r="CL34" i="1"/>
  <c r="ADQ48" i="1"/>
  <c r="ADR48" i="1" s="1"/>
  <c r="ACH48" i="1"/>
  <c r="ACJ48" i="1"/>
  <c r="ADY48" i="1"/>
  <c r="AEC48" i="1" s="1"/>
  <c r="ACI48" i="1"/>
  <c r="PZ51" i="1"/>
  <c r="QG51" i="1"/>
  <c r="PU51" i="1"/>
  <c r="ZL10" i="1"/>
  <c r="ZQ10" i="1"/>
  <c r="ZR10" i="1" s="1"/>
  <c r="LJ10" i="1"/>
  <c r="CL10" i="1"/>
  <c r="AAB59" i="1"/>
  <c r="AAA59" i="1"/>
  <c r="QE58" i="1"/>
  <c r="PY58" i="1"/>
  <c r="RH58" i="1"/>
  <c r="RI58" i="1" s="1"/>
  <c r="RL58" i="1" s="1"/>
  <c r="ZQ29" i="1"/>
  <c r="ZR29" i="1" s="1"/>
  <c r="ZL29" i="1"/>
  <c r="ZQ40" i="1"/>
  <c r="ZR40" i="1" s="1"/>
  <c r="ZL40" i="1"/>
  <c r="ZQ21" i="1"/>
  <c r="ZR21" i="1" s="1"/>
  <c r="ZL21" i="1"/>
  <c r="PR55" i="1"/>
  <c r="PX55" i="1" s="1"/>
  <c r="PK55" i="1"/>
  <c r="AAO55" i="1"/>
  <c r="ADD55" i="1"/>
  <c r="ADC55" i="1" s="1"/>
  <c r="PR53" i="1"/>
  <c r="PX53" i="1" s="1"/>
  <c r="PK53" i="1"/>
  <c r="ADD53" i="1"/>
  <c r="ADC53" i="1" s="1"/>
  <c r="AAO53" i="1"/>
  <c r="SS43" i="1"/>
  <c r="RN43" i="1"/>
  <c r="SS26" i="1"/>
  <c r="RN26" i="1"/>
  <c r="PM34" i="1"/>
  <c r="PT34" i="1" s="1"/>
  <c r="PG34" i="1"/>
  <c r="XU34" i="1"/>
  <c r="XT34" i="1" s="1"/>
  <c r="WZ34" i="1"/>
  <c r="XB34" i="1" s="1"/>
  <c r="UW34" i="1"/>
  <c r="UX32" i="1"/>
  <c r="LH32" i="1"/>
  <c r="LI32" i="1" s="1"/>
  <c r="LB32" i="1"/>
  <c r="LC32" i="1"/>
  <c r="PF32" i="1"/>
  <c r="CL40" i="1"/>
  <c r="UX40" i="1"/>
  <c r="LC40" i="1"/>
  <c r="LH40" i="1"/>
  <c r="LI40" i="1" s="1"/>
  <c r="LB40" i="1"/>
  <c r="PF40" i="1"/>
  <c r="VS49" i="1"/>
  <c r="QA49" i="1"/>
  <c r="QB49" i="1"/>
  <c r="PR47" i="1"/>
  <c r="PK47" i="1"/>
  <c r="ADD47" i="1"/>
  <c r="ADC47" i="1" s="1"/>
  <c r="AAO47" i="1"/>
  <c r="CL38" i="1"/>
  <c r="SS38" i="1"/>
  <c r="RN38" i="1"/>
  <c r="PP56" i="1"/>
  <c r="PI56" i="1"/>
  <c r="YY56" i="1"/>
  <c r="UK12" i="1"/>
  <c r="TO12" i="1"/>
  <c r="TE12" i="1"/>
  <c r="UH12" i="1"/>
  <c r="TG12" i="1"/>
  <c r="ADD52" i="1"/>
  <c r="ADC52" i="1" s="1"/>
  <c r="AAO52" i="1"/>
  <c r="ZU52" i="1"/>
  <c r="PQ52" i="1"/>
  <c r="LH28" i="1"/>
  <c r="LI28" i="1" s="1"/>
  <c r="LB28" i="1"/>
  <c r="UX28" i="1"/>
  <c r="LC28" i="1"/>
  <c r="PF28" i="1"/>
  <c r="SS28" i="1"/>
  <c r="RN28" i="1"/>
  <c r="SS31" i="1"/>
  <c r="RN31" i="1"/>
  <c r="UX29" i="1"/>
  <c r="LH29" i="1"/>
  <c r="LI29" i="1" s="1"/>
  <c r="LB29" i="1"/>
  <c r="LC29" i="1"/>
  <c r="PF29" i="1"/>
  <c r="AAQ54" i="1"/>
  <c r="LM54" i="1"/>
  <c r="PJ54" i="1"/>
  <c r="YF11" i="1"/>
  <c r="YG11" i="1" s="1"/>
  <c r="VX11" i="1"/>
  <c r="YO11" i="1"/>
  <c r="YS11" i="1" s="1"/>
  <c r="VY11" i="1"/>
  <c r="WH11" i="1"/>
  <c r="LC39" i="1"/>
  <c r="UX39" i="1"/>
  <c r="LH39" i="1"/>
  <c r="LI39" i="1" s="1"/>
  <c r="LB39" i="1"/>
  <c r="PF39" i="1"/>
  <c r="UK19" i="1"/>
  <c r="TO19" i="1"/>
  <c r="TE19" i="1"/>
  <c r="UH19" i="1"/>
  <c r="TG19" i="1"/>
  <c r="SS24" i="1"/>
  <c r="RN24" i="1"/>
  <c r="QB57" i="1"/>
  <c r="VS57" i="1"/>
  <c r="VW57" i="1" s="1"/>
  <c r="QA57" i="1"/>
  <c r="WJ57" i="1"/>
  <c r="RR57" i="1"/>
  <c r="RS57" i="1" s="1"/>
  <c r="UR57" i="1"/>
  <c r="ZV9" i="1"/>
  <c r="ZZ9" i="1" s="1"/>
  <c r="QD9" i="1"/>
  <c r="US9" i="1"/>
  <c r="UT9" i="1"/>
  <c r="PQ55" i="1"/>
  <c r="ZU55" i="1"/>
  <c r="UH25" i="1"/>
  <c r="TG25" i="1"/>
  <c r="UK25" i="1"/>
  <c r="TO25" i="1"/>
  <c r="TE25" i="1"/>
  <c r="LA25" i="1"/>
  <c r="ED25" i="1" s="1"/>
  <c r="EE25" i="1" s="1"/>
  <c r="SQ25" i="1"/>
  <c r="CK25" i="1"/>
  <c r="UH35" i="1"/>
  <c r="TG35" i="1"/>
  <c r="UK35" i="1"/>
  <c r="TO35" i="1"/>
  <c r="TE35" i="1"/>
  <c r="UK41" i="1"/>
  <c r="TO41" i="1"/>
  <c r="TE41" i="1"/>
  <c r="UH41" i="1"/>
  <c r="TG41" i="1"/>
  <c r="CL33" i="1"/>
  <c r="LJ33" i="1"/>
  <c r="SS33" i="1"/>
  <c r="RN33" i="1"/>
  <c r="SQ36" i="1"/>
  <c r="LA36" i="1"/>
  <c r="GM36" i="1" s="1"/>
  <c r="GN36" i="1" s="1"/>
  <c r="LM49" i="1"/>
  <c r="AAQ49" i="1"/>
  <c r="PJ49" i="1"/>
  <c r="YY49" i="1"/>
  <c r="SQ45" i="1"/>
  <c r="LA45" i="1"/>
  <c r="CK45" i="1" s="1"/>
  <c r="AAQ51" i="1"/>
  <c r="LM51" i="1"/>
  <c r="PJ51" i="1"/>
  <c r="XU10" i="1"/>
  <c r="XT10" i="1" s="1"/>
  <c r="WZ10" i="1"/>
  <c r="XB10" i="1" s="1"/>
  <c r="UW10" i="1"/>
  <c r="SS27" i="1"/>
  <c r="RN27" i="1"/>
  <c r="PG30" i="1"/>
  <c r="PM30" i="1"/>
  <c r="XU30" i="1"/>
  <c r="XT30" i="1" s="1"/>
  <c r="WZ30" i="1"/>
  <c r="XB30" i="1" s="1"/>
  <c r="UW30" i="1"/>
  <c r="YF48" i="1"/>
  <c r="YG48" i="1" s="1"/>
  <c r="YO48" i="1"/>
  <c r="YS48" i="1" s="1"/>
  <c r="VY48" i="1"/>
  <c r="VX48" i="1"/>
  <c r="WH48" i="1"/>
  <c r="YF19" i="1"/>
  <c r="YG19" i="1" s="1"/>
  <c r="YO19" i="1"/>
  <c r="YS19" i="1" s="1"/>
  <c r="VY19" i="1"/>
  <c r="WH19" i="1"/>
  <c r="VX19" i="1"/>
  <c r="SS21" i="1"/>
  <c r="RN21" i="1"/>
  <c r="UK42" i="1"/>
  <c r="TO42" i="1"/>
  <c r="TE42" i="1"/>
  <c r="UH42" i="1"/>
  <c r="TG42" i="1"/>
  <c r="SQ42" i="1"/>
  <c r="LA42" i="1"/>
  <c r="CK42" i="1"/>
  <c r="CL44" i="1"/>
  <c r="SS44" i="1"/>
  <c r="RN44" i="1"/>
  <c r="CL23" i="1"/>
  <c r="SS23" i="1"/>
  <c r="RN23" i="1"/>
  <c r="ZV22" i="1"/>
  <c r="ZZ22" i="1" s="1"/>
  <c r="QD22" i="1"/>
  <c r="US22" i="1"/>
  <c r="UT22" i="1"/>
  <c r="VS55" i="1"/>
  <c r="VW55" i="1" s="1"/>
  <c r="QA55" i="1"/>
  <c r="QB55" i="1"/>
  <c r="UR55" i="1"/>
  <c r="WJ55" i="1"/>
  <c r="RR55" i="1"/>
  <c r="RS55" i="1" s="1"/>
  <c r="WB58" i="1"/>
  <c r="YQ58" i="1"/>
  <c r="YT58" i="1" s="1"/>
  <c r="WG58" i="1"/>
  <c r="XN59" i="1"/>
  <c r="WQ59" i="1"/>
  <c r="WS59" i="1" s="1"/>
  <c r="XQ59" i="1"/>
  <c r="WR59" i="1"/>
  <c r="VZ59" i="1"/>
  <c r="VU59" i="1"/>
  <c r="VS47" i="1"/>
  <c r="VW47" i="1" s="1"/>
  <c r="QA47" i="1"/>
  <c r="QB47" i="1"/>
  <c r="WJ47" i="1"/>
  <c r="UR47" i="1"/>
  <c r="RR47" i="1"/>
  <c r="RS47" i="1" s="1"/>
  <c r="YY46" i="1"/>
  <c r="ACB50" i="1"/>
  <c r="QF50" i="1"/>
  <c r="ACB18" i="1"/>
  <c r="QF18" i="1"/>
  <c r="AAC14" i="1"/>
  <c r="ZX14" i="1"/>
  <c r="XN9" i="1"/>
  <c r="WQ9" i="1"/>
  <c r="WS9" i="1" s="1"/>
  <c r="XQ9" i="1"/>
  <c r="WR9" i="1"/>
  <c r="VZ9" i="1"/>
  <c r="VU9" i="1"/>
  <c r="KY32" i="1"/>
  <c r="KZ32" i="1" s="1"/>
  <c r="KY40" i="1"/>
  <c r="KZ40" i="1" s="1"/>
  <c r="QG49" i="1"/>
  <c r="ACG18" i="1"/>
  <c r="CK29" i="1"/>
  <c r="LJ30" i="1"/>
  <c r="KY39" i="1"/>
  <c r="KZ39" i="1" s="1"/>
  <c r="CK15" i="1"/>
  <c r="DP43" i="1"/>
  <c r="DQ43" i="1" s="1"/>
  <c r="FY43" i="1"/>
  <c r="FZ43" i="1" s="1"/>
  <c r="FY26" i="1"/>
  <c r="FZ26" i="1" s="1"/>
  <c r="CZ26" i="1"/>
  <c r="DA26" i="1" s="1"/>
  <c r="JY26" i="1"/>
  <c r="JZ26" i="1" s="1"/>
  <c r="JY32" i="1"/>
  <c r="JZ32" i="1" s="1"/>
  <c r="FH32" i="1"/>
  <c r="FI32" i="1" s="1"/>
  <c r="ES40" i="1"/>
  <c r="ET40" i="1" s="1"/>
  <c r="FY40" i="1"/>
  <c r="FZ40" i="1" s="1"/>
  <c r="JY40" i="1"/>
  <c r="JZ40" i="1" s="1"/>
  <c r="ED36" i="1"/>
  <c r="EE36" i="1" s="1"/>
  <c r="DP38" i="1"/>
  <c r="DQ38" i="1" s="1"/>
  <c r="JD38" i="1"/>
  <c r="JE38" i="1" s="1"/>
  <c r="FY38" i="1"/>
  <c r="FZ38" i="1" s="1"/>
  <c r="FY28" i="1"/>
  <c r="FZ28" i="1" s="1"/>
  <c r="FH28" i="1"/>
  <c r="FI28" i="1" s="1"/>
  <c r="JR28" i="1"/>
  <c r="JS28" i="1" s="1"/>
  <c r="JD31" i="1"/>
  <c r="JE31" i="1" s="1"/>
  <c r="FH31" i="1"/>
  <c r="FI31" i="1" s="1"/>
  <c r="FY29" i="1"/>
  <c r="FZ29" i="1" s="1"/>
  <c r="FH29" i="1"/>
  <c r="FI29" i="1" s="1"/>
  <c r="ES39" i="1"/>
  <c r="ET39" i="1" s="1"/>
  <c r="CZ39" i="1"/>
  <c r="DA39" i="1" s="1"/>
  <c r="FY15" i="1"/>
  <c r="FZ15" i="1" s="1"/>
  <c r="DP24" i="1"/>
  <c r="DQ24" i="1" s="1"/>
  <c r="JY24" i="1"/>
  <c r="JZ24" i="1" s="1"/>
  <c r="ED31" i="1"/>
  <c r="EE31" i="1" s="1"/>
  <c r="ED38" i="1"/>
  <c r="EE38" i="1" s="1"/>
  <c r="JR25" i="1"/>
  <c r="JS25" i="1" s="1"/>
  <c r="FH25" i="1"/>
  <c r="FI25" i="1" s="1"/>
  <c r="ES36" i="1"/>
  <c r="ET36" i="1" s="1"/>
  <c r="CZ36" i="1"/>
  <c r="DA36" i="1" s="1"/>
  <c r="WJ49" i="1"/>
  <c r="CZ45" i="1"/>
  <c r="DA45" i="1" s="1"/>
  <c r="DP45" i="1"/>
  <c r="DQ45" i="1" s="1"/>
  <c r="JY42" i="1"/>
  <c r="JZ42" i="1" s="1"/>
  <c r="CZ42" i="1"/>
  <c r="DA42" i="1" s="1"/>
  <c r="JD42" i="1"/>
  <c r="JE42" i="1" s="1"/>
  <c r="JR42" i="1"/>
  <c r="JS42" i="1" s="1"/>
  <c r="UL19" i="1"/>
  <c r="QG55" i="1"/>
  <c r="QG47" i="1"/>
  <c r="RH18" i="1"/>
  <c r="RI18" i="1" s="1"/>
  <c r="RL18" i="1" s="1"/>
  <c r="QE9" i="1"/>
  <c r="PY9" i="1"/>
  <c r="RH9" i="1"/>
  <c r="RI9" i="1" s="1"/>
  <c r="RL9" i="1" s="1"/>
  <c r="PU60" i="1"/>
  <c r="PZ60" i="1"/>
  <c r="WU20" i="1"/>
  <c r="WI20" i="1"/>
  <c r="QH20" i="1"/>
  <c r="QJ20" i="1" s="1"/>
  <c r="RV20" i="1" s="1"/>
  <c r="WV20" i="1"/>
  <c r="RC20" i="1"/>
  <c r="RD20" i="1" s="1"/>
  <c r="QI20" i="1"/>
  <c r="PY20" i="1"/>
  <c r="QE20" i="1"/>
  <c r="PZ56" i="1"/>
  <c r="QG56" i="1" s="1"/>
  <c r="PU56" i="1"/>
  <c r="ZL33" i="1"/>
  <c r="ZQ33" i="1"/>
  <c r="ZR33" i="1" s="1"/>
  <c r="ZQ39" i="1"/>
  <c r="ZR39" i="1" s="1"/>
  <c r="ZL15" i="1"/>
  <c r="ZQ15" i="1"/>
  <c r="ZR15" i="1" s="1"/>
  <c r="LC43" i="1"/>
  <c r="UX43" i="1"/>
  <c r="LH43" i="1"/>
  <c r="LI43" i="1" s="1"/>
  <c r="LB43" i="1"/>
  <c r="PF43" i="1"/>
  <c r="UX26" i="1"/>
  <c r="LH26" i="1"/>
  <c r="LI26" i="1" s="1"/>
  <c r="LB26" i="1"/>
  <c r="LC26" i="1"/>
  <c r="PF26" i="1"/>
  <c r="CL32" i="1"/>
  <c r="SS32" i="1"/>
  <c r="RN32" i="1"/>
  <c r="SS40" i="1"/>
  <c r="RN40" i="1"/>
  <c r="UX38" i="1"/>
  <c r="LH38" i="1"/>
  <c r="LI38" i="1" s="1"/>
  <c r="LB38" i="1"/>
  <c r="LC38" i="1"/>
  <c r="PF38" i="1"/>
  <c r="AAQ56" i="1"/>
  <c r="LM56" i="1"/>
  <c r="PJ56" i="1"/>
  <c r="SQ12" i="1"/>
  <c r="LA12" i="1"/>
  <c r="FH12" i="1" s="1"/>
  <c r="FI12" i="1" s="1"/>
  <c r="PR52" i="1"/>
  <c r="PX52" i="1" s="1"/>
  <c r="PK52" i="1"/>
  <c r="QC52" i="1"/>
  <c r="PW52" i="1"/>
  <c r="AAB19" i="1"/>
  <c r="AAA19" i="1"/>
  <c r="AAB48" i="1"/>
  <c r="AAA48" i="1"/>
  <c r="UX31" i="1"/>
  <c r="LH31" i="1"/>
  <c r="LI31" i="1" s="1"/>
  <c r="LB31" i="1"/>
  <c r="LC31" i="1"/>
  <c r="PF31" i="1"/>
  <c r="SS29" i="1"/>
  <c r="RN29" i="1"/>
  <c r="PP54" i="1"/>
  <c r="PV54" i="1" s="1"/>
  <c r="PI54" i="1"/>
  <c r="YY54" i="1"/>
  <c r="YF50" i="1"/>
  <c r="YG50" i="1" s="1"/>
  <c r="VX50" i="1"/>
  <c r="YO50" i="1"/>
  <c r="YS50" i="1" s="1"/>
  <c r="VY50" i="1"/>
  <c r="WH50" i="1"/>
  <c r="ZU57" i="1"/>
  <c r="PQ57" i="1"/>
  <c r="US57" i="1"/>
  <c r="UT57" i="1"/>
  <c r="CL39" i="1"/>
  <c r="SS39" i="1"/>
  <c r="RN39" i="1"/>
  <c r="LH15" i="1"/>
  <c r="LI15" i="1" s="1"/>
  <c r="LB15" i="1"/>
  <c r="LC15" i="1"/>
  <c r="UX15" i="1"/>
  <c r="PF15" i="1"/>
  <c r="SS15" i="1"/>
  <c r="RN15" i="1"/>
  <c r="CL24" i="1"/>
  <c r="UX24" i="1"/>
  <c r="LC24" i="1"/>
  <c r="LH24" i="1"/>
  <c r="LI24" i="1" s="1"/>
  <c r="LB24" i="1"/>
  <c r="PF24" i="1"/>
  <c r="ED24" i="1"/>
  <c r="EE24" i="1" s="1"/>
  <c r="ZV58" i="1"/>
  <c r="ZZ58" i="1" s="1"/>
  <c r="QD58" i="1"/>
  <c r="US58" i="1"/>
  <c r="UT58" i="1"/>
  <c r="QB53" i="1"/>
  <c r="VS53" i="1"/>
  <c r="VW53" i="1" s="1"/>
  <c r="QA53" i="1"/>
  <c r="RR53" i="1"/>
  <c r="RS53" i="1" s="1"/>
  <c r="WJ53" i="1"/>
  <c r="UR53" i="1"/>
  <c r="AAB18" i="1"/>
  <c r="AAA18" i="1"/>
  <c r="PZ46" i="1"/>
  <c r="QG46" i="1" s="1"/>
  <c r="PU46" i="1"/>
  <c r="YF18" i="1"/>
  <c r="YG18" i="1" s="1"/>
  <c r="YO18" i="1"/>
  <c r="YS18" i="1" s="1"/>
  <c r="WH18" i="1"/>
  <c r="VX18" i="1"/>
  <c r="VY18" i="1"/>
  <c r="ZU53" i="1"/>
  <c r="PQ53" i="1"/>
  <c r="US53" i="1"/>
  <c r="ACB13" i="1"/>
  <c r="ACG13" i="1" s="1"/>
  <c r="QF13" i="1"/>
  <c r="SQ35" i="1"/>
  <c r="LA35" i="1"/>
  <c r="KY35" i="1" s="1"/>
  <c r="KZ35" i="1" s="1"/>
  <c r="SQ41" i="1"/>
  <c r="LA41" i="1"/>
  <c r="ED41" i="1" s="1"/>
  <c r="EE41" i="1" s="1"/>
  <c r="LC33" i="1"/>
  <c r="UX33" i="1"/>
  <c r="LH33" i="1"/>
  <c r="LI33" i="1" s="1"/>
  <c r="LB33" i="1"/>
  <c r="PF33" i="1"/>
  <c r="UH36" i="1"/>
  <c r="TG36" i="1"/>
  <c r="UK36" i="1"/>
  <c r="TO36" i="1"/>
  <c r="TE36" i="1"/>
  <c r="PP49" i="1"/>
  <c r="PV49" i="1" s="1"/>
  <c r="PI49" i="1"/>
  <c r="VS54" i="1"/>
  <c r="VW54" i="1" s="1"/>
  <c r="QA54" i="1"/>
  <c r="QB54" i="1"/>
  <c r="YF20" i="1"/>
  <c r="YG20" i="1" s="1"/>
  <c r="VY20" i="1"/>
  <c r="YO20" i="1"/>
  <c r="YS20" i="1" s="1"/>
  <c r="VX20" i="1"/>
  <c r="WH20" i="1"/>
  <c r="PQ47" i="1"/>
  <c r="ZU47" i="1"/>
  <c r="US47" i="1"/>
  <c r="UH17" i="1"/>
  <c r="TG17" i="1"/>
  <c r="UK17" i="1"/>
  <c r="TO17" i="1"/>
  <c r="TE17" i="1"/>
  <c r="SQ17" i="1"/>
  <c r="LA17" i="1"/>
  <c r="KY45" i="1"/>
  <c r="KZ45" i="1" s="1"/>
  <c r="UK45" i="1"/>
  <c r="TO45" i="1"/>
  <c r="TE45" i="1"/>
  <c r="UH45" i="1"/>
  <c r="TG45" i="1"/>
  <c r="PP51" i="1"/>
  <c r="PV51" i="1" s="1"/>
  <c r="PI51" i="1"/>
  <c r="YY51" i="1"/>
  <c r="YQ52" i="1"/>
  <c r="YT52" i="1" s="1"/>
  <c r="WB52" i="1"/>
  <c r="WG52" i="1"/>
  <c r="XQ52" i="1"/>
  <c r="WR52" i="1"/>
  <c r="VZ52" i="1"/>
  <c r="VU52" i="1"/>
  <c r="XN52" i="1"/>
  <c r="WQ52" i="1"/>
  <c r="WS52" i="1" s="1"/>
  <c r="ZV13" i="1"/>
  <c r="ZZ13" i="1" s="1"/>
  <c r="QD13" i="1"/>
  <c r="UT13" i="1"/>
  <c r="US13" i="1"/>
  <c r="QF14" i="1"/>
  <c r="ACB14" i="1"/>
  <c r="ACG14" i="1" s="1"/>
  <c r="UU14" i="1"/>
  <c r="UV14" i="1"/>
  <c r="PP60" i="1"/>
  <c r="PV60" i="1" s="1"/>
  <c r="PI60" i="1"/>
  <c r="LM60" i="1"/>
  <c r="AAQ60" i="1"/>
  <c r="PJ60" i="1"/>
  <c r="YY60" i="1"/>
  <c r="PM10" i="1"/>
  <c r="PG10" i="1"/>
  <c r="CL27" i="1"/>
  <c r="UX27" i="1"/>
  <c r="LC27" i="1"/>
  <c r="LH27" i="1"/>
  <c r="LI27" i="1" s="1"/>
  <c r="LB27" i="1"/>
  <c r="PF27" i="1"/>
  <c r="ED27" i="1"/>
  <c r="EE27" i="1" s="1"/>
  <c r="ZL30" i="1"/>
  <c r="ZQ30" i="1"/>
  <c r="ZR30" i="1" s="1"/>
  <c r="PR57" i="1"/>
  <c r="PX57" i="1" s="1"/>
  <c r="PK57" i="1"/>
  <c r="ADD57" i="1"/>
  <c r="ADC57" i="1" s="1"/>
  <c r="AAO57" i="1"/>
  <c r="UH16" i="1"/>
  <c r="TG16" i="1"/>
  <c r="UK16" i="1"/>
  <c r="TO16" i="1"/>
  <c r="TE16" i="1"/>
  <c r="SQ16" i="1"/>
  <c r="LA16" i="1"/>
  <c r="JY16" i="1" s="1"/>
  <c r="JZ16" i="1" s="1"/>
  <c r="UK37" i="1"/>
  <c r="TO37" i="1"/>
  <c r="TE37" i="1"/>
  <c r="UH37" i="1"/>
  <c r="TG37" i="1"/>
  <c r="SQ37" i="1"/>
  <c r="LA37" i="1"/>
  <c r="CK37" i="1" s="1"/>
  <c r="UX21" i="1"/>
  <c r="LH21" i="1"/>
  <c r="LI21" i="1" s="1"/>
  <c r="LB21" i="1"/>
  <c r="LC21" i="1"/>
  <c r="PF21" i="1"/>
  <c r="LC44" i="1"/>
  <c r="UX44" i="1"/>
  <c r="LH44" i="1"/>
  <c r="LI44" i="1" s="1"/>
  <c r="LB44" i="1"/>
  <c r="PF44" i="1"/>
  <c r="ED44" i="1"/>
  <c r="EE44" i="1" s="1"/>
  <c r="UX23" i="1"/>
  <c r="LH23" i="1"/>
  <c r="LI23" i="1" s="1"/>
  <c r="LB23" i="1"/>
  <c r="LC23" i="1"/>
  <c r="PF23" i="1"/>
  <c r="ED23" i="1"/>
  <c r="EE23" i="1" s="1"/>
  <c r="XN58" i="1"/>
  <c r="WQ58" i="1"/>
  <c r="WS58" i="1" s="1"/>
  <c r="XQ58" i="1"/>
  <c r="WR58" i="1"/>
  <c r="VZ58" i="1"/>
  <c r="VU58" i="1"/>
  <c r="ZV50" i="1"/>
  <c r="ZZ50" i="1" s="1"/>
  <c r="QD50" i="1"/>
  <c r="UT50" i="1"/>
  <c r="US50" i="1"/>
  <c r="WB59" i="1"/>
  <c r="YQ59" i="1"/>
  <c r="YT59" i="1" s="1"/>
  <c r="WG59" i="1"/>
  <c r="PP46" i="1"/>
  <c r="PI46" i="1"/>
  <c r="AAQ46" i="1"/>
  <c r="LM46" i="1"/>
  <c r="PJ46" i="1"/>
  <c r="XN22" i="1"/>
  <c r="WQ22" i="1"/>
  <c r="WS22" i="1" s="1"/>
  <c r="WR22" i="1"/>
  <c r="XQ22" i="1"/>
  <c r="VZ22" i="1"/>
  <c r="VU22" i="1"/>
  <c r="WB22" i="1"/>
  <c r="YQ22" i="1"/>
  <c r="YT22" i="1" s="1"/>
  <c r="WG22" i="1"/>
  <c r="ACB22" i="1"/>
  <c r="ACG22" i="1" s="1"/>
  <c r="QF22" i="1"/>
  <c r="ACB11" i="1"/>
  <c r="QF11" i="1"/>
  <c r="AAE14" i="1"/>
  <c r="AAL14" i="1"/>
  <c r="AAG14" i="1"/>
  <c r="ACB59" i="1"/>
  <c r="ACG59" i="1" s="1"/>
  <c r="QF59" i="1"/>
  <c r="WB9" i="1"/>
  <c r="YQ9" i="1"/>
  <c r="YT9" i="1" s="1"/>
  <c r="WG9" i="1"/>
  <c r="RG18" i="1"/>
  <c r="ED12" i="1"/>
  <c r="EE12" i="1" s="1"/>
  <c r="RG11" i="1"/>
  <c r="ED42" i="1"/>
  <c r="EE42" i="1" s="1"/>
  <c r="KY43" i="1"/>
  <c r="KZ43" i="1" s="1"/>
  <c r="CK26" i="1"/>
  <c r="ACG11" i="1"/>
  <c r="ACG50" i="1"/>
  <c r="GM12" i="1"/>
  <c r="GN12" i="1" s="1"/>
  <c r="JY12" i="1"/>
  <c r="JZ12" i="1" s="1"/>
  <c r="FY12" i="1"/>
  <c r="FZ12" i="1" s="1"/>
  <c r="DP12" i="1"/>
  <c r="DQ12" i="1" s="1"/>
  <c r="CZ12" i="1"/>
  <c r="DA12" i="1" s="1"/>
  <c r="CK28" i="1"/>
  <c r="CK31" i="1"/>
  <c r="KY15" i="1"/>
  <c r="KZ15" i="1" s="1"/>
  <c r="QG57" i="1"/>
  <c r="RE9" i="1"/>
  <c r="RF9" i="1" s="1"/>
  <c r="RG9" i="1" s="1"/>
  <c r="ED35" i="1"/>
  <c r="EE35" i="1" s="1"/>
  <c r="FH43" i="1"/>
  <c r="FI43" i="1" s="1"/>
  <c r="JY43" i="1"/>
  <c r="JZ43" i="1" s="1"/>
  <c r="CZ43" i="1"/>
  <c r="DA43" i="1" s="1"/>
  <c r="DP26" i="1"/>
  <c r="DQ26" i="1" s="1"/>
  <c r="JD26" i="1"/>
  <c r="JE26" i="1" s="1"/>
  <c r="GM26" i="1"/>
  <c r="GN26" i="1" s="1"/>
  <c r="ES32" i="1"/>
  <c r="ET32" i="1" s="1"/>
  <c r="FY32" i="1"/>
  <c r="FZ32" i="1" s="1"/>
  <c r="CZ32" i="1"/>
  <c r="DA32" i="1" s="1"/>
  <c r="CZ40" i="1"/>
  <c r="DA40" i="1" s="1"/>
  <c r="JD40" i="1"/>
  <c r="JE40" i="1" s="1"/>
  <c r="GM40" i="1"/>
  <c r="GN40" i="1" s="1"/>
  <c r="FH38" i="1"/>
  <c r="FI38" i="1" s="1"/>
  <c r="JY38" i="1"/>
  <c r="JZ38" i="1" s="1"/>
  <c r="ED26" i="1"/>
  <c r="EE26" i="1" s="1"/>
  <c r="ES28" i="1"/>
  <c r="ET28" i="1" s="1"/>
  <c r="JD28" i="1"/>
  <c r="JE28" i="1" s="1"/>
  <c r="JR31" i="1"/>
  <c r="JS31" i="1" s="1"/>
  <c r="CZ31" i="1"/>
  <c r="DA31" i="1" s="1"/>
  <c r="JD29" i="1"/>
  <c r="JE29" i="1" s="1"/>
  <c r="CZ29" i="1"/>
  <c r="DA29" i="1" s="1"/>
  <c r="FY39" i="1"/>
  <c r="FZ39" i="1" s="1"/>
  <c r="JD39" i="1"/>
  <c r="JE39" i="1" s="1"/>
  <c r="JY15" i="1"/>
  <c r="JZ15" i="1" s="1"/>
  <c r="GM15" i="1"/>
  <c r="GN15" i="1" s="1"/>
  <c r="FY24" i="1"/>
  <c r="FZ24" i="1" s="1"/>
  <c r="ES24" i="1"/>
  <c r="ET24" i="1" s="1"/>
  <c r="ED28" i="1"/>
  <c r="EE28" i="1" s="1"/>
  <c r="ED32" i="1"/>
  <c r="EE32" i="1" s="1"/>
  <c r="PV55" i="1"/>
  <c r="JY25" i="1"/>
  <c r="JZ25" i="1" s="1"/>
  <c r="FY25" i="1"/>
  <c r="FZ25" i="1" s="1"/>
  <c r="ES25" i="1"/>
  <c r="ET25" i="1" s="1"/>
  <c r="JY35" i="1"/>
  <c r="JZ35" i="1" s="1"/>
  <c r="FH35" i="1"/>
  <c r="FI35" i="1" s="1"/>
  <c r="GM41" i="1"/>
  <c r="GN41" i="1" s="1"/>
  <c r="CZ41" i="1"/>
  <c r="DA41" i="1" s="1"/>
  <c r="DP41" i="1"/>
  <c r="DQ41" i="1" s="1"/>
  <c r="FY36" i="1"/>
  <c r="FZ36" i="1" s="1"/>
  <c r="DP36" i="1"/>
  <c r="DQ36" i="1" s="1"/>
  <c r="RR49" i="1"/>
  <c r="RS49" i="1" s="1"/>
  <c r="UR49" i="1"/>
  <c r="VW49" i="1"/>
  <c r="QG54" i="1"/>
  <c r="JD17" i="1"/>
  <c r="JE17" i="1" s="1"/>
  <c r="FH17" i="1"/>
  <c r="FI17" i="1" s="1"/>
  <c r="FY17" i="1"/>
  <c r="FZ17" i="1" s="1"/>
  <c r="FH45" i="1"/>
  <c r="FI45" i="1" s="1"/>
  <c r="ES45" i="1"/>
  <c r="ET45" i="1" s="1"/>
  <c r="JR45" i="1"/>
  <c r="JS45" i="1" s="1"/>
  <c r="UL12" i="1"/>
  <c r="KY29" i="1"/>
  <c r="KZ29" i="1" s="1"/>
  <c r="KY27" i="1"/>
  <c r="KZ27" i="1" s="1"/>
  <c r="JD16" i="1"/>
  <c r="JE16" i="1" s="1"/>
  <c r="JR16" i="1"/>
  <c r="JS16" i="1" s="1"/>
  <c r="DP16" i="1"/>
  <c r="DQ16" i="1" s="1"/>
  <c r="FY16" i="1"/>
  <c r="FZ16" i="1" s="1"/>
  <c r="GM37" i="1"/>
  <c r="GN37" i="1" s="1"/>
  <c r="CZ37" i="1"/>
  <c r="DA37" i="1" s="1"/>
  <c r="CK21" i="1"/>
  <c r="GM42" i="1"/>
  <c r="GN42" i="1" s="1"/>
  <c r="FY42" i="1"/>
  <c r="FZ42" i="1" s="1"/>
  <c r="ES42" i="1"/>
  <c r="ET42" i="1" s="1"/>
  <c r="FH42" i="1"/>
  <c r="FI42" i="1" s="1"/>
  <c r="DP42" i="1"/>
  <c r="DQ42" i="1" s="1"/>
  <c r="KY24" i="1"/>
  <c r="KZ24" i="1" s="1"/>
  <c r="RE22" i="1"/>
  <c r="RF22" i="1" s="1"/>
  <c r="RG22" i="1" s="1"/>
  <c r="KY28" i="1"/>
  <c r="KZ28" i="1" s="1"/>
  <c r="RH50" i="1"/>
  <c r="RI50" i="1" s="1"/>
  <c r="RL50" i="1" s="1"/>
  <c r="JD37" i="1" l="1"/>
  <c r="JE37" i="1" s="1"/>
  <c r="ES37" i="1"/>
  <c r="ET37" i="1" s="1"/>
  <c r="JD45" i="1"/>
  <c r="JE45" i="1" s="1"/>
  <c r="FY45" i="1"/>
  <c r="FZ45" i="1" s="1"/>
  <c r="JR36" i="1"/>
  <c r="JS36" i="1" s="1"/>
  <c r="JY36" i="1"/>
  <c r="JZ36" i="1" s="1"/>
  <c r="JR41" i="1"/>
  <c r="JS41" i="1" s="1"/>
  <c r="JY41" i="1"/>
  <c r="JZ41" i="1" s="1"/>
  <c r="ES35" i="1"/>
  <c r="ET35" i="1" s="1"/>
  <c r="JR35" i="1"/>
  <c r="JS35" i="1" s="1"/>
  <c r="GM35" i="1"/>
  <c r="GN35" i="1" s="1"/>
  <c r="CZ25" i="1"/>
  <c r="DA25" i="1" s="1"/>
  <c r="JD25" i="1"/>
  <c r="JE25" i="1" s="1"/>
  <c r="GM25" i="1"/>
  <c r="GN25" i="1" s="1"/>
  <c r="ED45" i="1"/>
  <c r="EE45" i="1" s="1"/>
  <c r="UT47" i="1"/>
  <c r="KY36" i="1"/>
  <c r="KZ36" i="1" s="1"/>
  <c r="CK41" i="1"/>
  <c r="CL41" i="1" s="1"/>
  <c r="UT53" i="1"/>
  <c r="JY45" i="1"/>
  <c r="JZ45" i="1" s="1"/>
  <c r="GM45" i="1"/>
  <c r="GN45" i="1" s="1"/>
  <c r="JD36" i="1"/>
  <c r="JE36" i="1" s="1"/>
  <c r="FH36" i="1"/>
  <c r="FI36" i="1" s="1"/>
  <c r="DP25" i="1"/>
  <c r="DQ25" i="1" s="1"/>
  <c r="XU14" i="2"/>
  <c r="XT14" i="2" s="1"/>
  <c r="WZ14" i="2"/>
  <c r="XB14" i="2" s="1"/>
  <c r="UW14" i="2"/>
  <c r="PG12" i="2"/>
  <c r="PM12" i="2"/>
  <c r="XU12" i="2"/>
  <c r="XT12" i="2" s="1"/>
  <c r="WZ12" i="2"/>
  <c r="XB12" i="2" s="1"/>
  <c r="UW12" i="2"/>
  <c r="PG11" i="2"/>
  <c r="PM11" i="2"/>
  <c r="XU11" i="2"/>
  <c r="XT11" i="2" s="1"/>
  <c r="WZ11" i="2"/>
  <c r="XB11" i="2" s="1"/>
  <c r="UW11" i="2"/>
  <c r="XU13" i="2"/>
  <c r="XT13" i="2" s="1"/>
  <c r="WZ13" i="2"/>
  <c r="XB13" i="2" s="1"/>
  <c r="UW13" i="2"/>
  <c r="LH10" i="2"/>
  <c r="LI10" i="2" s="1"/>
  <c r="LB10" i="2"/>
  <c r="UX10" i="2"/>
  <c r="LC10" i="2"/>
  <c r="PF10" i="2"/>
  <c r="SS10" i="2"/>
  <c r="RN10" i="2"/>
  <c r="YZ14" i="2"/>
  <c r="LL14" i="2"/>
  <c r="LK14" i="2"/>
  <c r="PH14" i="2"/>
  <c r="ZL10" i="2"/>
  <c r="ZQ10" i="2"/>
  <c r="ZR10" i="2" s="1"/>
  <c r="PM14" i="2"/>
  <c r="PG14" i="2"/>
  <c r="PG13" i="2"/>
  <c r="PM13" i="2"/>
  <c r="LJ12" i="2"/>
  <c r="CL12" i="2"/>
  <c r="LJ11" i="2"/>
  <c r="LJ13" i="2"/>
  <c r="CK10" i="2"/>
  <c r="QC60" i="1"/>
  <c r="RE60" i="1" s="1"/>
  <c r="RF60" i="1" s="1"/>
  <c r="PW60" i="1"/>
  <c r="QC51" i="1"/>
  <c r="PW51" i="1"/>
  <c r="ZL41" i="1"/>
  <c r="ZQ41" i="1"/>
  <c r="ZR41" i="1" s="1"/>
  <c r="WU46" i="1"/>
  <c r="WI46" i="1"/>
  <c r="QH46" i="1"/>
  <c r="QJ46" i="1" s="1"/>
  <c r="RV46" i="1" s="1"/>
  <c r="RC46" i="1"/>
  <c r="RD46" i="1" s="1"/>
  <c r="QI46" i="1"/>
  <c r="WV46" i="1"/>
  <c r="QE52" i="1"/>
  <c r="PY52" i="1"/>
  <c r="RH52" i="1"/>
  <c r="RI52" i="1" s="1"/>
  <c r="RL52" i="1" s="1"/>
  <c r="ADQ59" i="1"/>
  <c r="ADR59" i="1" s="1"/>
  <c r="ACH59" i="1"/>
  <c r="ACI59" i="1"/>
  <c r="ACJ59" i="1"/>
  <c r="ADY59" i="1"/>
  <c r="AEC59" i="1" s="1"/>
  <c r="QE57" i="1"/>
  <c r="PY57" i="1"/>
  <c r="YF54" i="1"/>
  <c r="YG54" i="1" s="1"/>
  <c r="VY54" i="1"/>
  <c r="YO54" i="1"/>
  <c r="YS54" i="1" s="1"/>
  <c r="WH54" i="1"/>
  <c r="VX54" i="1"/>
  <c r="QC49" i="1"/>
  <c r="US49" i="1" s="1"/>
  <c r="PW49" i="1"/>
  <c r="ADQ13" i="1"/>
  <c r="ADR13" i="1" s="1"/>
  <c r="ACH13" i="1"/>
  <c r="ADY13" i="1"/>
  <c r="AEC13" i="1" s="1"/>
  <c r="ACI13" i="1"/>
  <c r="ACJ13" i="1"/>
  <c r="QC54" i="1"/>
  <c r="PW54" i="1"/>
  <c r="QE53" i="1"/>
  <c r="RH53" i="1" s="1"/>
  <c r="RI53" i="1" s="1"/>
  <c r="RL53" i="1" s="1"/>
  <c r="PY53" i="1"/>
  <c r="QE55" i="1"/>
  <c r="UV55" i="1" s="1"/>
  <c r="PY55" i="1"/>
  <c r="RH55" i="1"/>
  <c r="RI55" i="1" s="1"/>
  <c r="RL55" i="1" s="1"/>
  <c r="YF49" i="1"/>
  <c r="YG49" i="1" s="1"/>
  <c r="VX49" i="1"/>
  <c r="VY49" i="1"/>
  <c r="YO49" i="1"/>
  <c r="YS49" i="1" s="1"/>
  <c r="WH49" i="1"/>
  <c r="ZQ32" i="1"/>
  <c r="ZR32" i="1" s="1"/>
  <c r="ZL32" i="1"/>
  <c r="ZQ26" i="1"/>
  <c r="ZR26" i="1" s="1"/>
  <c r="ZL26" i="1"/>
  <c r="LJ28" i="1"/>
  <c r="CL28" i="1"/>
  <c r="ADQ11" i="1"/>
  <c r="ADR11" i="1" s="1"/>
  <c r="ACH11" i="1"/>
  <c r="ADY11" i="1"/>
  <c r="AEC11" i="1" s="1"/>
  <c r="ACI11" i="1"/>
  <c r="ACJ11" i="1"/>
  <c r="LJ26" i="1"/>
  <c r="CL26" i="1"/>
  <c r="ADQ22" i="1"/>
  <c r="ADR22" i="1" s="1"/>
  <c r="ACH22" i="1"/>
  <c r="ACJ22" i="1"/>
  <c r="ADY22" i="1"/>
  <c r="AEC22" i="1" s="1"/>
  <c r="ACI22" i="1"/>
  <c r="ZL42" i="1"/>
  <c r="ZQ42" i="1"/>
  <c r="ZR42" i="1" s="1"/>
  <c r="ZL12" i="1"/>
  <c r="ZQ12" i="1"/>
  <c r="ZR12" i="1" s="1"/>
  <c r="ADD46" i="1"/>
  <c r="ADC46" i="1" s="1"/>
  <c r="AAO46" i="1"/>
  <c r="ZU46" i="1"/>
  <c r="PQ46" i="1"/>
  <c r="AAB50" i="1"/>
  <c r="AAA50" i="1"/>
  <c r="PM23" i="1"/>
  <c r="PT23" i="1" s="1"/>
  <c r="PG23" i="1"/>
  <c r="ZL44" i="1"/>
  <c r="ZQ44" i="1"/>
  <c r="ZR44" i="1" s="1"/>
  <c r="PG44" i="1"/>
  <c r="PM44" i="1"/>
  <c r="PM21" i="1"/>
  <c r="PT21" i="1" s="1"/>
  <c r="PG21" i="1"/>
  <c r="XU21" i="1"/>
  <c r="XT21" i="1" s="1"/>
  <c r="WZ21" i="1"/>
  <c r="XB21" i="1" s="1"/>
  <c r="UW21" i="1"/>
  <c r="LC37" i="1"/>
  <c r="UX37" i="1"/>
  <c r="LH37" i="1"/>
  <c r="LI37" i="1" s="1"/>
  <c r="LB37" i="1"/>
  <c r="PF37" i="1"/>
  <c r="SS16" i="1"/>
  <c r="RN16" i="1"/>
  <c r="PG27" i="1"/>
  <c r="PM27" i="1"/>
  <c r="PO10" i="1"/>
  <c r="VR10" i="1"/>
  <c r="PN10" i="1"/>
  <c r="AAO60" i="1"/>
  <c r="ADD60" i="1"/>
  <c r="ADC60" i="1" s="1"/>
  <c r="AAB13" i="1"/>
  <c r="AAA13" i="1"/>
  <c r="UX17" i="1"/>
  <c r="LH17" i="1"/>
  <c r="LI17" i="1" s="1"/>
  <c r="LB17" i="1"/>
  <c r="LC17" i="1"/>
  <c r="PF17" i="1"/>
  <c r="PG33" i="1"/>
  <c r="PM33" i="1"/>
  <c r="XU33" i="1"/>
  <c r="XT33" i="1" s="1"/>
  <c r="WZ33" i="1"/>
  <c r="XB33" i="1" s="1"/>
  <c r="UW33" i="1"/>
  <c r="SS41" i="1"/>
  <c r="RN41" i="1"/>
  <c r="SS35" i="1"/>
  <c r="RN35" i="1"/>
  <c r="XQ18" i="1"/>
  <c r="WR18" i="1"/>
  <c r="VZ18" i="1"/>
  <c r="VU18" i="1"/>
  <c r="XN18" i="1"/>
  <c r="WQ18" i="1"/>
  <c r="WS18" i="1" s="1"/>
  <c r="AAL18" i="1"/>
  <c r="AAG18" i="1"/>
  <c r="AAE18" i="1"/>
  <c r="YF53" i="1"/>
  <c r="YG53" i="1" s="1"/>
  <c r="VX53" i="1"/>
  <c r="RG53" i="1" s="1"/>
  <c r="YO53" i="1"/>
  <c r="YS53" i="1" s="1"/>
  <c r="VY53" i="1"/>
  <c r="WH53" i="1"/>
  <c r="ZQ24" i="1"/>
  <c r="ZR24" i="1" s="1"/>
  <c r="ZL24" i="1"/>
  <c r="XU24" i="1"/>
  <c r="XT24" i="1" s="1"/>
  <c r="WZ24" i="1"/>
  <c r="XB24" i="1" s="1"/>
  <c r="UW24" i="1"/>
  <c r="PM15" i="1"/>
  <c r="PG15" i="1"/>
  <c r="XQ50" i="1"/>
  <c r="WR50" i="1"/>
  <c r="VZ50" i="1"/>
  <c r="VU50" i="1"/>
  <c r="XN50" i="1"/>
  <c r="WQ50" i="1"/>
  <c r="WS50" i="1" s="1"/>
  <c r="YQ50" i="1"/>
  <c r="YT50" i="1" s="1"/>
  <c r="WB50" i="1"/>
  <c r="WG50" i="1"/>
  <c r="XU31" i="1"/>
  <c r="XT31" i="1" s="1"/>
  <c r="WZ31" i="1"/>
  <c r="XB31" i="1" s="1"/>
  <c r="UW31" i="1"/>
  <c r="AAC48" i="1"/>
  <c r="ZX48" i="1"/>
  <c r="AAC19" i="1"/>
  <c r="ZX19" i="1"/>
  <c r="ZV52" i="1"/>
  <c r="QD52" i="1"/>
  <c r="ADD56" i="1"/>
  <c r="ADC56" i="1" s="1"/>
  <c r="AAO56" i="1"/>
  <c r="XU38" i="1"/>
  <c r="XT38" i="1" s="1"/>
  <c r="WZ38" i="1"/>
  <c r="XB38" i="1" s="1"/>
  <c r="UW38" i="1"/>
  <c r="XU26" i="1"/>
  <c r="XT26" i="1" s="1"/>
  <c r="WZ26" i="1"/>
  <c r="XB26" i="1" s="1"/>
  <c r="UW26" i="1"/>
  <c r="PG43" i="1"/>
  <c r="PM43" i="1"/>
  <c r="QH56" i="1"/>
  <c r="QJ56" i="1" s="1"/>
  <c r="RV56" i="1" s="1"/>
  <c r="WU56" i="1"/>
  <c r="WI56" i="1"/>
  <c r="RC56" i="1"/>
  <c r="RD56" i="1" s="1"/>
  <c r="QI56" i="1"/>
  <c r="WV56" i="1"/>
  <c r="QF20" i="1"/>
  <c r="ACB20" i="1"/>
  <c r="ACG20" i="1" s="1"/>
  <c r="UV20" i="1"/>
  <c r="UU20" i="1"/>
  <c r="ACB9" i="1"/>
  <c r="ACG9" i="1" s="1"/>
  <c r="QF9" i="1"/>
  <c r="UV9" i="1"/>
  <c r="UU9" i="1"/>
  <c r="WU47" i="1"/>
  <c r="WI47" i="1"/>
  <c r="RC47" i="1"/>
  <c r="RD47" i="1" s="1"/>
  <c r="QI47" i="1"/>
  <c r="QH47" i="1"/>
  <c r="QJ47" i="1" s="1"/>
  <c r="RV47" i="1" s="1"/>
  <c r="WV47" i="1"/>
  <c r="ZQ38" i="1"/>
  <c r="ZR38" i="1" s="1"/>
  <c r="ZL38" i="1"/>
  <c r="LJ15" i="1"/>
  <c r="CL15" i="1"/>
  <c r="LJ29" i="1"/>
  <c r="CL29" i="1"/>
  <c r="YF55" i="1"/>
  <c r="YG55" i="1" s="1"/>
  <c r="WH55" i="1"/>
  <c r="VY55" i="1"/>
  <c r="YO55" i="1"/>
  <c r="YS55" i="1" s="1"/>
  <c r="VX55" i="1"/>
  <c r="AAB22" i="1"/>
  <c r="AAA22" i="1"/>
  <c r="LC42" i="1"/>
  <c r="UX42" i="1"/>
  <c r="LH42" i="1"/>
  <c r="LI42" i="1" s="1"/>
  <c r="LB42" i="1"/>
  <c r="PF42" i="1"/>
  <c r="XN48" i="1"/>
  <c r="WQ48" i="1"/>
  <c r="WS48" i="1" s="1"/>
  <c r="XQ48" i="1"/>
  <c r="WR48" i="1"/>
  <c r="VZ48" i="1"/>
  <c r="VU48" i="1"/>
  <c r="PN30" i="1"/>
  <c r="VR30" i="1"/>
  <c r="PO30" i="1"/>
  <c r="PR51" i="1"/>
  <c r="PX51" i="1" s="1"/>
  <c r="PK51" i="1"/>
  <c r="ADD51" i="1"/>
  <c r="ADC51" i="1" s="1"/>
  <c r="AAO51" i="1"/>
  <c r="LC45" i="1"/>
  <c r="UX45" i="1"/>
  <c r="LH45" i="1"/>
  <c r="LI45" i="1" s="1"/>
  <c r="LB45" i="1"/>
  <c r="PF45" i="1"/>
  <c r="PR49" i="1"/>
  <c r="PX49" i="1" s="1"/>
  <c r="PK49" i="1"/>
  <c r="SS36" i="1"/>
  <c r="RN36" i="1"/>
  <c r="YZ33" i="1"/>
  <c r="LK33" i="1"/>
  <c r="LL33" i="1"/>
  <c r="PH33" i="1"/>
  <c r="CL25" i="1"/>
  <c r="UX25" i="1"/>
  <c r="LC25" i="1"/>
  <c r="LH25" i="1"/>
  <c r="LI25" i="1" s="1"/>
  <c r="LB25" i="1"/>
  <c r="PF25" i="1"/>
  <c r="YF57" i="1"/>
  <c r="YG57" i="1" s="1"/>
  <c r="YO57" i="1"/>
  <c r="YS57" i="1" s="1"/>
  <c r="VY57" i="1"/>
  <c r="WH57" i="1"/>
  <c r="VX57" i="1"/>
  <c r="RG57" i="1" s="1"/>
  <c r="XQ11" i="1"/>
  <c r="WR11" i="1"/>
  <c r="VZ11" i="1"/>
  <c r="VU11" i="1"/>
  <c r="XN11" i="1"/>
  <c r="WQ11" i="1"/>
  <c r="WS11" i="1" s="1"/>
  <c r="YQ11" i="1"/>
  <c r="YT11" i="1" s="1"/>
  <c r="WG11" i="1"/>
  <c r="WB11" i="1"/>
  <c r="PR54" i="1"/>
  <c r="PK54" i="1"/>
  <c r="AAO54" i="1"/>
  <c r="ADD54" i="1"/>
  <c r="ADC54" i="1" s="1"/>
  <c r="XU29" i="1"/>
  <c r="XT29" i="1" s="1"/>
  <c r="WZ29" i="1"/>
  <c r="XB29" i="1" s="1"/>
  <c r="UW29" i="1"/>
  <c r="PM28" i="1"/>
  <c r="PG28" i="1"/>
  <c r="XU28" i="1"/>
  <c r="XT28" i="1" s="1"/>
  <c r="WZ28" i="1"/>
  <c r="XB28" i="1" s="1"/>
  <c r="UW28" i="1"/>
  <c r="ZU56" i="1"/>
  <c r="PQ56" i="1"/>
  <c r="ACA47" i="1"/>
  <c r="PS47" i="1"/>
  <c r="XU40" i="1"/>
  <c r="XT40" i="1" s="1"/>
  <c r="WZ40" i="1"/>
  <c r="XB40" i="1" s="1"/>
  <c r="UW40" i="1"/>
  <c r="PM32" i="1"/>
  <c r="PT32" i="1" s="1"/>
  <c r="PG32" i="1"/>
  <c r="XU32" i="1"/>
  <c r="XT32" i="1" s="1"/>
  <c r="WZ32" i="1"/>
  <c r="XB32" i="1" s="1"/>
  <c r="UW32" i="1"/>
  <c r="VR34" i="1"/>
  <c r="PO34" i="1"/>
  <c r="PN34" i="1"/>
  <c r="AAE59" i="1"/>
  <c r="AAL59" i="1"/>
  <c r="AAG59" i="1"/>
  <c r="QB51" i="1"/>
  <c r="VS51" i="1"/>
  <c r="VW51" i="1" s="1"/>
  <c r="QA51" i="1"/>
  <c r="UR51" i="1"/>
  <c r="RR51" i="1"/>
  <c r="RS51" i="1" s="1"/>
  <c r="WJ51" i="1"/>
  <c r="AAL11" i="1"/>
  <c r="AAG11" i="1"/>
  <c r="AAE11" i="1"/>
  <c r="QD53" i="1"/>
  <c r="ZV53" i="1"/>
  <c r="AAC20" i="1"/>
  <c r="ZX20" i="1"/>
  <c r="AEA19" i="1"/>
  <c r="AED19" i="1" s="1"/>
  <c r="ACO19" i="1"/>
  <c r="ACM19" i="1"/>
  <c r="RM19" i="1"/>
  <c r="ACD19" i="1"/>
  <c r="ACK19" i="1"/>
  <c r="LJ27" i="1"/>
  <c r="CK17" i="1"/>
  <c r="KY17" i="1"/>
  <c r="KZ17" i="1" s="1"/>
  <c r="CK12" i="1"/>
  <c r="LJ32" i="1"/>
  <c r="RH20" i="1"/>
  <c r="RI20" i="1" s="1"/>
  <c r="RL20" i="1" s="1"/>
  <c r="DP37" i="1"/>
  <c r="DQ37" i="1" s="1"/>
  <c r="FY37" i="1"/>
  <c r="FZ37" i="1" s="1"/>
  <c r="JY37" i="1"/>
  <c r="JZ37" i="1" s="1"/>
  <c r="FH16" i="1"/>
  <c r="FI16" i="1" s="1"/>
  <c r="CZ17" i="1"/>
  <c r="DA17" i="1" s="1"/>
  <c r="DP17" i="1"/>
  <c r="DQ17" i="1" s="1"/>
  <c r="JY17" i="1"/>
  <c r="JZ17" i="1" s="1"/>
  <c r="FH41" i="1"/>
  <c r="FI41" i="1" s="1"/>
  <c r="ES41" i="1"/>
  <c r="ET41" i="1" s="1"/>
  <c r="DP35" i="1"/>
  <c r="DQ35" i="1" s="1"/>
  <c r="JD35" i="1"/>
  <c r="JE35" i="1" s="1"/>
  <c r="JR12" i="1"/>
  <c r="JS12" i="1" s="1"/>
  <c r="LJ23" i="1"/>
  <c r="PT30" i="1"/>
  <c r="KY25" i="1"/>
  <c r="KZ25" i="1" s="1"/>
  <c r="US52" i="1"/>
  <c r="ZZ52" i="1"/>
  <c r="LJ43" i="1"/>
  <c r="LJ21" i="1"/>
  <c r="CL21" i="1"/>
  <c r="WU54" i="1"/>
  <c r="WI54" i="1"/>
  <c r="RC54" i="1"/>
  <c r="RD54" i="1" s="1"/>
  <c r="QI54" i="1"/>
  <c r="QH54" i="1"/>
  <c r="QJ54" i="1" s="1"/>
  <c r="RV54" i="1" s="1"/>
  <c r="WV54" i="1"/>
  <c r="RE55" i="1"/>
  <c r="RF55" i="1" s="1"/>
  <c r="RG55" i="1" s="1"/>
  <c r="QC55" i="1"/>
  <c r="PW55" i="1"/>
  <c r="ZL28" i="1"/>
  <c r="ZQ28" i="1"/>
  <c r="ZR28" i="1" s="1"/>
  <c r="ZQ35" i="1"/>
  <c r="ZR35" i="1" s="1"/>
  <c r="ZL35" i="1"/>
  <c r="QH57" i="1"/>
  <c r="QJ57" i="1" s="1"/>
  <c r="RV57" i="1" s="1"/>
  <c r="WU57" i="1"/>
  <c r="WI57" i="1"/>
  <c r="RC57" i="1"/>
  <c r="RD57" i="1" s="1"/>
  <c r="QI57" i="1"/>
  <c r="WV57" i="1"/>
  <c r="LJ31" i="1"/>
  <c r="CL31" i="1"/>
  <c r="ADQ50" i="1"/>
  <c r="ADR50" i="1" s="1"/>
  <c r="ACH50" i="1"/>
  <c r="ADY50" i="1"/>
  <c r="AEC50" i="1" s="1"/>
  <c r="ACI50" i="1"/>
  <c r="ACJ50" i="1"/>
  <c r="ZL45" i="1"/>
  <c r="ZQ45" i="1"/>
  <c r="ZR45" i="1" s="1"/>
  <c r="PR46" i="1"/>
  <c r="PX46" i="1" s="1"/>
  <c r="PK46" i="1"/>
  <c r="ZQ23" i="1"/>
  <c r="ZR23" i="1" s="1"/>
  <c r="ZL23" i="1"/>
  <c r="XU23" i="1"/>
  <c r="XT23" i="1" s="1"/>
  <c r="WZ23" i="1"/>
  <c r="XB23" i="1" s="1"/>
  <c r="UW23" i="1"/>
  <c r="XU44" i="1"/>
  <c r="XT44" i="1" s="1"/>
  <c r="WZ44" i="1"/>
  <c r="XB44" i="1" s="1"/>
  <c r="UW44" i="1"/>
  <c r="CL37" i="1"/>
  <c r="SS37" i="1"/>
  <c r="RN37" i="1"/>
  <c r="UX16" i="1"/>
  <c r="LH16" i="1"/>
  <c r="LI16" i="1" s="1"/>
  <c r="LB16" i="1"/>
  <c r="LC16" i="1"/>
  <c r="PF16" i="1"/>
  <c r="ACA57" i="1"/>
  <c r="PS57" i="1"/>
  <c r="UU57" i="1"/>
  <c r="UV57" i="1"/>
  <c r="ZQ27" i="1"/>
  <c r="ZR27" i="1" s="1"/>
  <c r="ZL27" i="1"/>
  <c r="XU27" i="1"/>
  <c r="XT27" i="1" s="1"/>
  <c r="WZ27" i="1"/>
  <c r="XB27" i="1" s="1"/>
  <c r="UW27" i="1"/>
  <c r="PR60" i="1"/>
  <c r="PX60" i="1" s="1"/>
  <c r="PK60" i="1"/>
  <c r="PQ60" i="1"/>
  <c r="ZU60" i="1"/>
  <c r="US60" i="1"/>
  <c r="UT60" i="1"/>
  <c r="ADQ14" i="1"/>
  <c r="ADR14" i="1" s="1"/>
  <c r="ACH14" i="1"/>
  <c r="ADY14" i="1"/>
  <c r="AEC14" i="1" s="1"/>
  <c r="ACI14" i="1"/>
  <c r="ACJ14" i="1"/>
  <c r="ZU51" i="1"/>
  <c r="PQ51" i="1"/>
  <c r="UT51" i="1"/>
  <c r="US51" i="1"/>
  <c r="SS17" i="1"/>
  <c r="RN17" i="1"/>
  <c r="WB20" i="1"/>
  <c r="YQ20" i="1"/>
  <c r="YT20" i="1" s="1"/>
  <c r="WG20" i="1"/>
  <c r="RG20" i="1"/>
  <c r="XN20" i="1"/>
  <c r="WQ20" i="1"/>
  <c r="WS20" i="1" s="1"/>
  <c r="XQ20" i="1"/>
  <c r="VZ20" i="1"/>
  <c r="VU20" i="1"/>
  <c r="WR20" i="1"/>
  <c r="PQ49" i="1"/>
  <c r="ZU49" i="1"/>
  <c r="UT49" i="1"/>
  <c r="LC41" i="1"/>
  <c r="UX41" i="1"/>
  <c r="LH41" i="1"/>
  <c r="LI41" i="1" s="1"/>
  <c r="LB41" i="1"/>
  <c r="PF41" i="1"/>
  <c r="UX35" i="1"/>
  <c r="LH35" i="1"/>
  <c r="LI35" i="1" s="1"/>
  <c r="LB35" i="1"/>
  <c r="LC35" i="1"/>
  <c r="PF35" i="1"/>
  <c r="YQ18" i="1"/>
  <c r="YT18" i="1" s="1"/>
  <c r="WB18" i="1"/>
  <c r="WG18" i="1"/>
  <c r="VS46" i="1"/>
  <c r="VW46" i="1" s="1"/>
  <c r="QB46" i="1"/>
  <c r="QA46" i="1"/>
  <c r="WJ46" i="1"/>
  <c r="RR46" i="1"/>
  <c r="RS46" i="1" s="1"/>
  <c r="UR46" i="1"/>
  <c r="AAC18" i="1"/>
  <c r="ZX18" i="1"/>
  <c r="AAB58" i="1"/>
  <c r="AAA58" i="1"/>
  <c r="PG24" i="1"/>
  <c r="PM24" i="1"/>
  <c r="XU15" i="1"/>
  <c r="XT15" i="1" s="1"/>
  <c r="WZ15" i="1"/>
  <c r="XB15" i="1" s="1"/>
  <c r="UW15" i="1"/>
  <c r="ZU54" i="1"/>
  <c r="PQ54" i="1"/>
  <c r="US54" i="1"/>
  <c r="UT54" i="1"/>
  <c r="PM31" i="1"/>
  <c r="PT31" i="1" s="1"/>
  <c r="PG31" i="1"/>
  <c r="AAE48" i="1"/>
  <c r="AAL48" i="1"/>
  <c r="AAG48" i="1"/>
  <c r="AAE19" i="1"/>
  <c r="AAL19" i="1"/>
  <c r="AAG19" i="1"/>
  <c r="PS52" i="1"/>
  <c r="ACA52" i="1"/>
  <c r="UU52" i="1"/>
  <c r="UV52" i="1"/>
  <c r="LH12" i="1"/>
  <c r="LI12" i="1" s="1"/>
  <c r="LB12" i="1"/>
  <c r="UX12" i="1"/>
  <c r="LC12" i="1"/>
  <c r="PF12" i="1"/>
  <c r="SS12" i="1"/>
  <c r="RN12" i="1"/>
  <c r="PR56" i="1"/>
  <c r="PX56" i="1" s="1"/>
  <c r="PK56" i="1"/>
  <c r="PM38" i="1"/>
  <c r="PT38" i="1" s="1"/>
  <c r="PG38" i="1"/>
  <c r="PM26" i="1"/>
  <c r="PT26" i="1"/>
  <c r="PG26" i="1"/>
  <c r="XU43" i="1"/>
  <c r="XT43" i="1" s="1"/>
  <c r="WZ43" i="1"/>
  <c r="XB43" i="1" s="1"/>
  <c r="UW43" i="1"/>
  <c r="QB56" i="1"/>
  <c r="VS56" i="1"/>
  <c r="VW56" i="1" s="1"/>
  <c r="QA56" i="1"/>
  <c r="RR56" i="1"/>
  <c r="RS56" i="1" s="1"/>
  <c r="WJ56" i="1"/>
  <c r="UR56" i="1"/>
  <c r="VS60" i="1"/>
  <c r="VW60" i="1" s="1"/>
  <c r="QA60" i="1"/>
  <c r="QB60" i="1"/>
  <c r="WJ60" i="1"/>
  <c r="RR60" i="1"/>
  <c r="RS60" i="1" s="1"/>
  <c r="UR60" i="1"/>
  <c r="WU55" i="1"/>
  <c r="WI55" i="1"/>
  <c r="RC55" i="1"/>
  <c r="RD55" i="1" s="1"/>
  <c r="QI55" i="1"/>
  <c r="QH55" i="1"/>
  <c r="QJ55" i="1" s="1"/>
  <c r="RV55" i="1" s="1"/>
  <c r="WV55" i="1"/>
  <c r="ZQ31" i="1"/>
  <c r="ZR31" i="1" s="1"/>
  <c r="ZL31" i="1"/>
  <c r="ZQ36" i="1"/>
  <c r="ZR36" i="1" s="1"/>
  <c r="ZL36" i="1"/>
  <c r="YZ30" i="1"/>
  <c r="LK30" i="1"/>
  <c r="LL30" i="1"/>
  <c r="PH30" i="1"/>
  <c r="ADQ18" i="1"/>
  <c r="ADR18" i="1" s="1"/>
  <c r="ACH18" i="1"/>
  <c r="ACJ18" i="1"/>
  <c r="ADY18" i="1"/>
  <c r="AEC18" i="1" s="1"/>
  <c r="ACI18" i="1"/>
  <c r="WU49" i="1"/>
  <c r="WI49" i="1"/>
  <c r="RC49" i="1"/>
  <c r="RD49" i="1" s="1"/>
  <c r="QI49" i="1"/>
  <c r="QH49" i="1"/>
  <c r="QJ49" i="1" s="1"/>
  <c r="RV49" i="1" s="1"/>
  <c r="WV49" i="1"/>
  <c r="ZQ25" i="1"/>
  <c r="ZR25" i="1" s="1"/>
  <c r="ZL25" i="1"/>
  <c r="YF47" i="1"/>
  <c r="YG47" i="1" s="1"/>
  <c r="VY47" i="1"/>
  <c r="YO47" i="1"/>
  <c r="YS47" i="1" s="1"/>
  <c r="VX47" i="1"/>
  <c r="WH47" i="1"/>
  <c r="CL42" i="1"/>
  <c r="SS42" i="1"/>
  <c r="RN42" i="1"/>
  <c r="WB19" i="1"/>
  <c r="YQ19" i="1"/>
  <c r="YT19" i="1" s="1"/>
  <c r="WG19" i="1"/>
  <c r="RG19" i="1"/>
  <c r="XN19" i="1"/>
  <c r="WQ19" i="1"/>
  <c r="WS19" i="1" s="1"/>
  <c r="WR19" i="1"/>
  <c r="XQ19" i="1"/>
  <c r="VZ19" i="1"/>
  <c r="VU19" i="1"/>
  <c r="WB48" i="1"/>
  <c r="YQ48" i="1"/>
  <c r="YT48" i="1" s="1"/>
  <c r="WG48" i="1"/>
  <c r="RG48" i="1"/>
  <c r="CL45" i="1"/>
  <c r="SS45" i="1"/>
  <c r="RN45" i="1"/>
  <c r="AAO49" i="1"/>
  <c r="ADD49" i="1"/>
  <c r="ADC49" i="1" s="1"/>
  <c r="UX36" i="1"/>
  <c r="LH36" i="1"/>
  <c r="LI36" i="1" s="1"/>
  <c r="LB36" i="1"/>
  <c r="LC36" i="1"/>
  <c r="PF36" i="1"/>
  <c r="SS25" i="1"/>
  <c r="RN25" i="1"/>
  <c r="AAB9" i="1"/>
  <c r="AAA9" i="1"/>
  <c r="PG39" i="1"/>
  <c r="PM39" i="1"/>
  <c r="XU39" i="1"/>
  <c r="XT39" i="1" s="1"/>
  <c r="WZ39" i="1"/>
  <c r="XB39" i="1" s="1"/>
  <c r="UW39" i="1"/>
  <c r="PM29" i="1"/>
  <c r="PT29" i="1" s="1"/>
  <c r="PG29" i="1"/>
  <c r="PG40" i="1"/>
  <c r="PM40" i="1"/>
  <c r="PU34" i="1"/>
  <c r="PZ34" i="1"/>
  <c r="UR34" i="1" s="1"/>
  <c r="ACA53" i="1"/>
  <c r="PS53" i="1"/>
  <c r="UU53" i="1"/>
  <c r="ACA55" i="1"/>
  <c r="PS55" i="1"/>
  <c r="UU55" i="1"/>
  <c r="ACB58" i="1"/>
  <c r="ACG58" i="1" s="1"/>
  <c r="QF58" i="1"/>
  <c r="UU58" i="1"/>
  <c r="UV58" i="1"/>
  <c r="AAC59" i="1"/>
  <c r="ZX59" i="1"/>
  <c r="YZ10" i="1"/>
  <c r="LL10" i="1"/>
  <c r="LK10" i="1"/>
  <c r="PH10" i="1"/>
  <c r="QH51" i="1"/>
  <c r="QJ51" i="1" s="1"/>
  <c r="RV51" i="1" s="1"/>
  <c r="WU51" i="1"/>
  <c r="WI51" i="1"/>
  <c r="RC51" i="1"/>
  <c r="RD51" i="1" s="1"/>
  <c r="QI51" i="1"/>
  <c r="WV51" i="1"/>
  <c r="AEA48" i="1"/>
  <c r="AED48" i="1" s="1"/>
  <c r="ACO48" i="1"/>
  <c r="ACM48" i="1"/>
  <c r="RM48" i="1"/>
  <c r="ACD48" i="1"/>
  <c r="ACK48" i="1"/>
  <c r="LL34" i="1"/>
  <c r="YZ34" i="1"/>
  <c r="LK34" i="1"/>
  <c r="PH34" i="1"/>
  <c r="AAC11" i="1"/>
  <c r="ZX11" i="1"/>
  <c r="ZV47" i="1"/>
  <c r="ZZ47" i="1" s="1"/>
  <c r="QD47" i="1"/>
  <c r="QD57" i="1"/>
  <c r="ZV57" i="1"/>
  <c r="ZZ57" i="1" s="1"/>
  <c r="AAE20" i="1"/>
  <c r="AAL20" i="1"/>
  <c r="AAG20" i="1"/>
  <c r="PV46" i="1"/>
  <c r="CK16" i="1"/>
  <c r="KY16" i="1"/>
  <c r="KZ16" i="1" s="1"/>
  <c r="PT10" i="1"/>
  <c r="CK35" i="1"/>
  <c r="ZZ53" i="1"/>
  <c r="LJ24" i="1"/>
  <c r="LJ39" i="1"/>
  <c r="RE52" i="1"/>
  <c r="RF52" i="1" s="1"/>
  <c r="RG52" i="1" s="1"/>
  <c r="QG60" i="1"/>
  <c r="JR37" i="1"/>
  <c r="JS37" i="1" s="1"/>
  <c r="FH37" i="1"/>
  <c r="FI37" i="1" s="1"/>
  <c r="CZ16" i="1"/>
  <c r="DA16" i="1" s="1"/>
  <c r="ES16" i="1"/>
  <c r="ET16" i="1" s="1"/>
  <c r="GM16" i="1"/>
  <c r="GN16" i="1" s="1"/>
  <c r="ES17" i="1"/>
  <c r="ET17" i="1" s="1"/>
  <c r="JR17" i="1"/>
  <c r="JS17" i="1" s="1"/>
  <c r="GM17" i="1"/>
  <c r="GN17" i="1" s="1"/>
  <c r="JD41" i="1"/>
  <c r="JE41" i="1" s="1"/>
  <c r="FY41" i="1"/>
  <c r="FZ41" i="1" s="1"/>
  <c r="FY35" i="1"/>
  <c r="FZ35" i="1" s="1"/>
  <c r="CZ35" i="1"/>
  <c r="DA35" i="1" s="1"/>
  <c r="ED16" i="1"/>
  <c r="EE16" i="1" s="1"/>
  <c r="ED17" i="1"/>
  <c r="EE17" i="1" s="1"/>
  <c r="JD12" i="1"/>
  <c r="JE12" i="1" s="1"/>
  <c r="ES12" i="1"/>
  <c r="ET12" i="1" s="1"/>
  <c r="ED37" i="1"/>
  <c r="EE37" i="1" s="1"/>
  <c r="LJ44" i="1"/>
  <c r="KY42" i="1"/>
  <c r="KZ42" i="1" s="1"/>
  <c r="KY37" i="1"/>
  <c r="KZ37" i="1" s="1"/>
  <c r="CK36" i="1"/>
  <c r="KY41" i="1"/>
  <c r="KZ41" i="1" s="1"/>
  <c r="UT52" i="1"/>
  <c r="KY12" i="1"/>
  <c r="KZ12" i="1" s="1"/>
  <c r="PV56" i="1"/>
  <c r="LJ38" i="1"/>
  <c r="PX47" i="1"/>
  <c r="LJ40" i="1"/>
  <c r="RG50" i="1"/>
  <c r="UV53" i="1" l="1"/>
  <c r="LJ45" i="1"/>
  <c r="LK45" i="1" s="1"/>
  <c r="LJ10" i="2"/>
  <c r="CL10" i="2"/>
  <c r="LK11" i="2"/>
  <c r="YZ11" i="2"/>
  <c r="LL11" i="2"/>
  <c r="PH11" i="2"/>
  <c r="LK12" i="2"/>
  <c r="YZ12" i="2"/>
  <c r="LL12" i="2"/>
  <c r="PH12" i="2"/>
  <c r="PO14" i="2"/>
  <c r="VR14" i="2"/>
  <c r="PN14" i="2"/>
  <c r="YY14" i="2"/>
  <c r="XU10" i="2"/>
  <c r="XT10" i="2" s="1"/>
  <c r="WZ10" i="2"/>
  <c r="XB10" i="2" s="1"/>
  <c r="UW10" i="2"/>
  <c r="LK13" i="2"/>
  <c r="YZ13" i="2"/>
  <c r="LL13" i="2"/>
  <c r="PH13" i="2"/>
  <c r="VR13" i="2"/>
  <c r="PN13" i="2"/>
  <c r="PO13" i="2"/>
  <c r="PP14" i="2"/>
  <c r="PV14" i="2" s="1"/>
  <c r="PI14" i="2"/>
  <c r="AAQ14" i="2"/>
  <c r="LM14" i="2"/>
  <c r="PJ14" i="2"/>
  <c r="PM10" i="2"/>
  <c r="PG10" i="2"/>
  <c r="VR11" i="2"/>
  <c r="PN11" i="2"/>
  <c r="PO11" i="2"/>
  <c r="VR12" i="2"/>
  <c r="PN12" i="2"/>
  <c r="PO12" i="2"/>
  <c r="PT13" i="2"/>
  <c r="PT14" i="2"/>
  <c r="PT11" i="2"/>
  <c r="PT12" i="2"/>
  <c r="AAB57" i="1"/>
  <c r="AAA57" i="1"/>
  <c r="PU38" i="1"/>
  <c r="PZ38" i="1"/>
  <c r="QE56" i="1"/>
  <c r="UV56" i="1" s="1"/>
  <c r="PY56" i="1"/>
  <c r="QE60" i="1"/>
  <c r="UV60" i="1" s="1"/>
  <c r="PY60" i="1"/>
  <c r="RH60" i="1"/>
  <c r="RI60" i="1" s="1"/>
  <c r="RL60" i="1" s="1"/>
  <c r="QE49" i="1"/>
  <c r="PY49" i="1"/>
  <c r="RH49" i="1"/>
  <c r="RI49" i="1" s="1"/>
  <c r="RL49" i="1" s="1"/>
  <c r="AAB47" i="1"/>
  <c r="AAA47" i="1"/>
  <c r="PU29" i="1"/>
  <c r="PZ29" i="1"/>
  <c r="PU31" i="1"/>
  <c r="PZ31" i="1"/>
  <c r="QE46" i="1"/>
  <c r="UU46" i="1" s="1"/>
  <c r="PY46" i="1"/>
  <c r="PU32" i="1"/>
  <c r="PZ32" i="1"/>
  <c r="QE51" i="1"/>
  <c r="UV51" i="1" s="1"/>
  <c r="PY51" i="1"/>
  <c r="PU21" i="1"/>
  <c r="PZ21" i="1"/>
  <c r="PU23" i="1"/>
  <c r="PZ23" i="1"/>
  <c r="LK40" i="1"/>
  <c r="YZ40" i="1"/>
  <c r="LL40" i="1"/>
  <c r="PH40" i="1"/>
  <c r="LL38" i="1"/>
  <c r="YZ38" i="1"/>
  <c r="LK38" i="1"/>
  <c r="PH38" i="1"/>
  <c r="LJ36" i="1"/>
  <c r="CL36" i="1"/>
  <c r="ZL37" i="1"/>
  <c r="ZQ37" i="1"/>
  <c r="ZR37" i="1" s="1"/>
  <c r="ZQ16" i="1"/>
  <c r="ZR16" i="1" s="1"/>
  <c r="ZL16" i="1"/>
  <c r="LK24" i="1"/>
  <c r="YZ24" i="1"/>
  <c r="LL24" i="1"/>
  <c r="PH24" i="1"/>
  <c r="LJ35" i="1"/>
  <c r="CL35" i="1"/>
  <c r="LJ16" i="1"/>
  <c r="CL16" i="1"/>
  <c r="AAQ34" i="1"/>
  <c r="LM34" i="1"/>
  <c r="PJ34" i="1"/>
  <c r="YY10" i="1"/>
  <c r="ACH58" i="1"/>
  <c r="ADQ58" i="1"/>
  <c r="ADR58" i="1" s="1"/>
  <c r="ACJ58" i="1"/>
  <c r="ADY58" i="1"/>
  <c r="AEC58" i="1" s="1"/>
  <c r="ACI58" i="1"/>
  <c r="VR40" i="1"/>
  <c r="PN40" i="1"/>
  <c r="PO40" i="1"/>
  <c r="AAE9" i="1"/>
  <c r="AAL9" i="1"/>
  <c r="AAG9" i="1"/>
  <c r="WG47" i="1"/>
  <c r="WB47" i="1"/>
  <c r="YQ47" i="1"/>
  <c r="YT47" i="1" s="1"/>
  <c r="XN47" i="1"/>
  <c r="WQ47" i="1"/>
  <c r="WS47" i="1" s="1"/>
  <c r="XQ47" i="1"/>
  <c r="WR47" i="1"/>
  <c r="VZ47" i="1"/>
  <c r="VU47" i="1"/>
  <c r="AEA18" i="1"/>
  <c r="AED18" i="1" s="1"/>
  <c r="ACO18" i="1"/>
  <c r="ACM18" i="1"/>
  <c r="RM18" i="1"/>
  <c r="ACK18" i="1"/>
  <c r="ACD18" i="1"/>
  <c r="PP30" i="1"/>
  <c r="PV30" i="1" s="1"/>
  <c r="PI30" i="1"/>
  <c r="LM30" i="1"/>
  <c r="AAQ30" i="1"/>
  <c r="PJ30" i="1"/>
  <c r="YY30" i="1"/>
  <c r="YF60" i="1"/>
  <c r="YG60" i="1" s="1"/>
  <c r="VX60" i="1"/>
  <c r="RG60" i="1" s="1"/>
  <c r="VY60" i="1"/>
  <c r="YO60" i="1"/>
  <c r="YS60" i="1" s="1"/>
  <c r="WH60" i="1"/>
  <c r="VR26" i="1"/>
  <c r="PO26" i="1"/>
  <c r="PN26" i="1"/>
  <c r="PM12" i="1"/>
  <c r="PT12" i="1" s="1"/>
  <c r="PG12" i="1"/>
  <c r="XU12" i="1"/>
  <c r="XT12" i="1" s="1"/>
  <c r="WZ12" i="1"/>
  <c r="XB12" i="1" s="1"/>
  <c r="UW12" i="1"/>
  <c r="AAE58" i="1"/>
  <c r="AAL58" i="1"/>
  <c r="AAG58" i="1"/>
  <c r="PM35" i="1"/>
  <c r="PG35" i="1"/>
  <c r="XU35" i="1"/>
  <c r="XT35" i="1" s="1"/>
  <c r="WZ35" i="1"/>
  <c r="XB35" i="1" s="1"/>
  <c r="UW35" i="1"/>
  <c r="AEA14" i="1"/>
  <c r="AED14" i="1" s="1"/>
  <c r="ACO14" i="1"/>
  <c r="ACM14" i="1"/>
  <c r="RM14" i="1"/>
  <c r="AEA50" i="1"/>
  <c r="AED50" i="1" s="1"/>
  <c r="ACO50" i="1"/>
  <c r="ACM50" i="1"/>
  <c r="RM50" i="1"/>
  <c r="LL21" i="1"/>
  <c r="LK21" i="1"/>
  <c r="YZ21" i="1"/>
  <c r="PH21" i="1"/>
  <c r="YZ43" i="1"/>
  <c r="LK43" i="1"/>
  <c r="LL43" i="1"/>
  <c r="PH43" i="1"/>
  <c r="PZ30" i="1"/>
  <c r="QG30" i="1"/>
  <c r="PU30" i="1"/>
  <c r="LL32" i="1"/>
  <c r="YZ32" i="1"/>
  <c r="LK32" i="1"/>
  <c r="PH32" i="1"/>
  <c r="LJ17" i="1"/>
  <c r="CL17" i="1"/>
  <c r="ACQ19" i="1"/>
  <c r="ACV19" i="1"/>
  <c r="PO28" i="1"/>
  <c r="VR28" i="1"/>
  <c r="PN28" i="1"/>
  <c r="ACA54" i="1"/>
  <c r="PS54" i="1"/>
  <c r="PP33" i="1"/>
  <c r="PI33" i="1"/>
  <c r="PG45" i="1"/>
  <c r="PM45" i="1"/>
  <c r="AAC22" i="1"/>
  <c r="ZX22" i="1"/>
  <c r="ADQ20" i="1"/>
  <c r="ADR20" i="1" s="1"/>
  <c r="ACH20" i="1"/>
  <c r="ADY20" i="1"/>
  <c r="AEC20" i="1" s="1"/>
  <c r="ACI20" i="1"/>
  <c r="ACJ20" i="1"/>
  <c r="PN43" i="1"/>
  <c r="VR43" i="1"/>
  <c r="PO43" i="1"/>
  <c r="PO15" i="1"/>
  <c r="VR15" i="1"/>
  <c r="PN15" i="1"/>
  <c r="PM17" i="1"/>
  <c r="PG17" i="1"/>
  <c r="AAE13" i="1"/>
  <c r="AAL13" i="1"/>
  <c r="AAG13" i="1"/>
  <c r="PG37" i="1"/>
  <c r="PM37" i="1"/>
  <c r="XU37" i="1"/>
  <c r="XT37" i="1" s="1"/>
  <c r="WZ37" i="1"/>
  <c r="XB37" i="1" s="1"/>
  <c r="UW37" i="1"/>
  <c r="PN44" i="1"/>
  <c r="VR44" i="1"/>
  <c r="PO44" i="1"/>
  <c r="AAL50" i="1"/>
  <c r="AAG50" i="1"/>
  <c r="AAE50" i="1"/>
  <c r="ACK11" i="1"/>
  <c r="ACD11" i="1"/>
  <c r="YZ28" i="1"/>
  <c r="LL28" i="1"/>
  <c r="LK28" i="1"/>
  <c r="PH28" i="1"/>
  <c r="WB49" i="1"/>
  <c r="YQ49" i="1"/>
  <c r="YT49" i="1" s="1"/>
  <c r="WG49" i="1"/>
  <c r="ZV54" i="1"/>
  <c r="QD54" i="1"/>
  <c r="ACD13" i="1"/>
  <c r="ACK13" i="1"/>
  <c r="ZV49" i="1"/>
  <c r="QD49" i="1"/>
  <c r="WB54" i="1"/>
  <c r="YQ54" i="1"/>
  <c r="YT54" i="1" s="1"/>
  <c r="WG54" i="1"/>
  <c r="ACB57" i="1"/>
  <c r="QF57" i="1"/>
  <c r="AEA59" i="1"/>
  <c r="AED59" i="1" s="1"/>
  <c r="ACO59" i="1"/>
  <c r="ACM59" i="1"/>
  <c r="RM59" i="1"/>
  <c r="ACB52" i="1"/>
  <c r="QF52" i="1"/>
  <c r="QD51" i="1"/>
  <c r="ZV51" i="1"/>
  <c r="PT40" i="1"/>
  <c r="ZZ51" i="1"/>
  <c r="LJ37" i="1"/>
  <c r="RR34" i="1"/>
  <c r="RS34" i="1" s="1"/>
  <c r="LJ25" i="1"/>
  <c r="PT43" i="1"/>
  <c r="LJ41" i="1"/>
  <c r="PT44" i="1"/>
  <c r="QE47" i="1"/>
  <c r="PY47" i="1"/>
  <c r="RH47" i="1"/>
  <c r="RI47" i="1" s="1"/>
  <c r="RL47" i="1" s="1"/>
  <c r="QC56" i="1"/>
  <c r="RE56" i="1" s="1"/>
  <c r="RF56" i="1" s="1"/>
  <c r="PW56" i="1"/>
  <c r="YZ44" i="1"/>
  <c r="LK44" i="1"/>
  <c r="LL44" i="1"/>
  <c r="PH44" i="1"/>
  <c r="ZQ17" i="1"/>
  <c r="ZR17" i="1" s="1"/>
  <c r="ZL17" i="1"/>
  <c r="WU60" i="1"/>
  <c r="WI60" i="1"/>
  <c r="RC60" i="1"/>
  <c r="RD60" i="1" s="1"/>
  <c r="QI60" i="1"/>
  <c r="QH60" i="1"/>
  <c r="QJ60" i="1" s="1"/>
  <c r="RV60" i="1" s="1"/>
  <c r="WV60" i="1"/>
  <c r="YZ39" i="1"/>
  <c r="LK39" i="1"/>
  <c r="LL39" i="1"/>
  <c r="PH39" i="1"/>
  <c r="AAB53" i="1"/>
  <c r="AAA53" i="1"/>
  <c r="PU10" i="1"/>
  <c r="PZ10" i="1"/>
  <c r="QC46" i="1"/>
  <c r="RE46" i="1" s="1"/>
  <c r="RF46" i="1" s="1"/>
  <c r="PW46" i="1"/>
  <c r="PP34" i="1"/>
  <c r="PV34" i="1" s="1"/>
  <c r="PI34" i="1"/>
  <c r="YY34" i="1"/>
  <c r="ACV48" i="1"/>
  <c r="ACQ48" i="1"/>
  <c r="PP10" i="1"/>
  <c r="PV10" i="1" s="1"/>
  <c r="PI10" i="1"/>
  <c r="AAQ10" i="1"/>
  <c r="LM10" i="1"/>
  <c r="PJ10" i="1"/>
  <c r="QA34" i="1"/>
  <c r="VS34" i="1"/>
  <c r="QB34" i="1"/>
  <c r="VR29" i="1"/>
  <c r="PO29" i="1"/>
  <c r="PN29" i="1"/>
  <c r="UR29" i="1"/>
  <c r="WJ29" i="1"/>
  <c r="RR29" i="1"/>
  <c r="RS29" i="1" s="1"/>
  <c r="PN39" i="1"/>
  <c r="VR39" i="1"/>
  <c r="PO39" i="1"/>
  <c r="AAC9" i="1"/>
  <c r="ZX9" i="1"/>
  <c r="PM36" i="1"/>
  <c r="PT36" i="1" s="1"/>
  <c r="PG36" i="1"/>
  <c r="XU36" i="1"/>
  <c r="XT36" i="1" s="1"/>
  <c r="WZ36" i="1"/>
  <c r="XB36" i="1" s="1"/>
  <c r="UW36" i="1"/>
  <c r="YZ45" i="1"/>
  <c r="LL45" i="1"/>
  <c r="YF56" i="1"/>
  <c r="YG56" i="1" s="1"/>
  <c r="VX56" i="1"/>
  <c r="YO56" i="1"/>
  <c r="YS56" i="1" s="1"/>
  <c r="VY56" i="1"/>
  <c r="WH56" i="1"/>
  <c r="PU26" i="1"/>
  <c r="PZ26" i="1"/>
  <c r="VR38" i="1"/>
  <c r="PO38" i="1"/>
  <c r="PN38" i="1"/>
  <c r="UR38" i="1"/>
  <c r="WJ38" i="1"/>
  <c r="RR38" i="1"/>
  <c r="RS38" i="1" s="1"/>
  <c r="ACA56" i="1"/>
  <c r="PS56" i="1"/>
  <c r="UU56" i="1"/>
  <c r="VR31" i="1"/>
  <c r="PO31" i="1"/>
  <c r="PN31" i="1"/>
  <c r="UR31" i="1"/>
  <c r="WJ31" i="1"/>
  <c r="RR31" i="1"/>
  <c r="RS31" i="1" s="1"/>
  <c r="VR24" i="1"/>
  <c r="PN24" i="1"/>
  <c r="PO24" i="1"/>
  <c r="AAC58" i="1"/>
  <c r="ZX58" i="1"/>
  <c r="YF46" i="1"/>
  <c r="YG46" i="1" s="1"/>
  <c r="VX46" i="1"/>
  <c r="VY46" i="1"/>
  <c r="YO46" i="1"/>
  <c r="YS46" i="1" s="1"/>
  <c r="WH46" i="1"/>
  <c r="PG41" i="1"/>
  <c r="PM41" i="1"/>
  <c r="XU41" i="1"/>
  <c r="XT41" i="1" s="1"/>
  <c r="WZ41" i="1"/>
  <c r="XB41" i="1" s="1"/>
  <c r="UW41" i="1"/>
  <c r="ACD14" i="1"/>
  <c r="ACK14" i="1"/>
  <c r="ACA60" i="1"/>
  <c r="PS60" i="1"/>
  <c r="UU60" i="1"/>
  <c r="PM16" i="1"/>
  <c r="PG16" i="1"/>
  <c r="XU16" i="1"/>
  <c r="XT16" i="1" s="1"/>
  <c r="WZ16" i="1"/>
  <c r="XB16" i="1" s="1"/>
  <c r="UW16" i="1"/>
  <c r="ACA46" i="1"/>
  <c r="PS46" i="1"/>
  <c r="UV46" i="1"/>
  <c r="ACK50" i="1"/>
  <c r="ACD50" i="1"/>
  <c r="LL31" i="1"/>
  <c r="YZ31" i="1"/>
  <c r="LK31" i="1"/>
  <c r="PH31" i="1"/>
  <c r="ZV55" i="1"/>
  <c r="ZZ55" i="1" s="1"/>
  <c r="QD55" i="1"/>
  <c r="UT55" i="1"/>
  <c r="US55" i="1"/>
  <c r="AAB52" i="1"/>
  <c r="AAA52" i="1"/>
  <c r="LL23" i="1"/>
  <c r="YZ23" i="1"/>
  <c r="LK23" i="1"/>
  <c r="PH23" i="1"/>
  <c r="LJ12" i="1"/>
  <c r="CL12" i="1"/>
  <c r="LK27" i="1"/>
  <c r="YZ27" i="1"/>
  <c r="LL27" i="1"/>
  <c r="PH27" i="1"/>
  <c r="YF51" i="1"/>
  <c r="YG51" i="1" s="1"/>
  <c r="VX51" i="1"/>
  <c r="YO51" i="1"/>
  <c r="YS51" i="1" s="1"/>
  <c r="VY51" i="1"/>
  <c r="WH51" i="1"/>
  <c r="VR32" i="1"/>
  <c r="PO32" i="1"/>
  <c r="PN32" i="1"/>
  <c r="RR32" i="1"/>
  <c r="RS32" i="1" s="1"/>
  <c r="UR32" i="1"/>
  <c r="WJ32" i="1"/>
  <c r="YQ57" i="1"/>
  <c r="YT57" i="1" s="1"/>
  <c r="WB57" i="1"/>
  <c r="WG57" i="1"/>
  <c r="XQ57" i="1"/>
  <c r="WR57" i="1"/>
  <c r="VZ57" i="1"/>
  <c r="VU57" i="1"/>
  <c r="XN57" i="1"/>
  <c r="WQ57" i="1"/>
  <c r="WS57" i="1" s="1"/>
  <c r="PG25" i="1"/>
  <c r="PM25" i="1"/>
  <c r="XU25" i="1"/>
  <c r="XT25" i="1" s="1"/>
  <c r="WZ25" i="1"/>
  <c r="XB25" i="1" s="1"/>
  <c r="UW25" i="1"/>
  <c r="LM33" i="1"/>
  <c r="AAQ33" i="1"/>
  <c r="PJ33" i="1"/>
  <c r="YY33" i="1"/>
  <c r="ACA49" i="1"/>
  <c r="PS49" i="1"/>
  <c r="UV49" i="1"/>
  <c r="UU49" i="1"/>
  <c r="XU45" i="1"/>
  <c r="XT45" i="1" s="1"/>
  <c r="WZ45" i="1"/>
  <c r="XB45" i="1" s="1"/>
  <c r="UW45" i="1"/>
  <c r="ACA51" i="1"/>
  <c r="PS51" i="1"/>
  <c r="UU51" i="1"/>
  <c r="PG42" i="1"/>
  <c r="PM42" i="1"/>
  <c r="XU42" i="1"/>
  <c r="XT42" i="1" s="1"/>
  <c r="WZ42" i="1"/>
  <c r="XB42" i="1" s="1"/>
  <c r="UW42" i="1"/>
  <c r="AAE22" i="1"/>
  <c r="AAL22" i="1"/>
  <c r="AAG22" i="1"/>
  <c r="WG55" i="1"/>
  <c r="WB55" i="1"/>
  <c r="YQ55" i="1"/>
  <c r="YT55" i="1" s="1"/>
  <c r="XN55" i="1"/>
  <c r="WQ55" i="1"/>
  <c r="WS55" i="1" s="1"/>
  <c r="XQ55" i="1"/>
  <c r="WR55" i="1"/>
  <c r="VZ55" i="1"/>
  <c r="VU55" i="1"/>
  <c r="LL29" i="1"/>
  <c r="YZ29" i="1"/>
  <c r="LK29" i="1"/>
  <c r="PH29" i="1"/>
  <c r="YZ15" i="1"/>
  <c r="LL15" i="1"/>
  <c r="LK15" i="1"/>
  <c r="PH15" i="1"/>
  <c r="ADQ9" i="1"/>
  <c r="ADR9" i="1" s="1"/>
  <c r="ACH9" i="1"/>
  <c r="ACJ9" i="1"/>
  <c r="ADY9" i="1"/>
  <c r="AEC9" i="1" s="1"/>
  <c r="ACI9" i="1"/>
  <c r="XQ53" i="1"/>
  <c r="WR53" i="1"/>
  <c r="VZ53" i="1"/>
  <c r="VU53" i="1"/>
  <c r="XN53" i="1"/>
  <c r="WQ53" i="1"/>
  <c r="WS53" i="1" s="1"/>
  <c r="YQ53" i="1"/>
  <c r="YT53" i="1" s="1"/>
  <c r="WB53" i="1"/>
  <c r="WG53" i="1"/>
  <c r="PN33" i="1"/>
  <c r="VR33" i="1"/>
  <c r="PO33" i="1"/>
  <c r="XU17" i="1"/>
  <c r="XT17" i="1" s="1"/>
  <c r="WZ17" i="1"/>
  <c r="XB17" i="1" s="1"/>
  <c r="UW17" i="1"/>
  <c r="AAC13" i="1"/>
  <c r="ZX13" i="1"/>
  <c r="VR27" i="1"/>
  <c r="PN27" i="1"/>
  <c r="PO27" i="1"/>
  <c r="VR21" i="1"/>
  <c r="PO21" i="1"/>
  <c r="PN21" i="1"/>
  <c r="WJ21" i="1"/>
  <c r="UR21" i="1"/>
  <c r="RR21" i="1"/>
  <c r="RS21" i="1" s="1"/>
  <c r="VR23" i="1"/>
  <c r="PO23" i="1"/>
  <c r="PN23" i="1"/>
  <c r="RR23" i="1"/>
  <c r="RS23" i="1" s="1"/>
  <c r="WJ23" i="1"/>
  <c r="UR23" i="1"/>
  <c r="AAC50" i="1"/>
  <c r="ZX50" i="1"/>
  <c r="AEA22" i="1"/>
  <c r="AED22" i="1" s="1"/>
  <c r="ACO22" i="1"/>
  <c r="ACM22" i="1"/>
  <c r="RM22" i="1"/>
  <c r="ACD22" i="1"/>
  <c r="ACK22" i="1"/>
  <c r="LL26" i="1"/>
  <c r="YZ26" i="1"/>
  <c r="LK26" i="1"/>
  <c r="PH26" i="1"/>
  <c r="AEA11" i="1"/>
  <c r="AED11" i="1" s="1"/>
  <c r="ACO11" i="1"/>
  <c r="ACM11" i="1"/>
  <c r="RM11" i="1"/>
  <c r="XN49" i="1"/>
  <c r="WQ49" i="1"/>
  <c r="WS49" i="1" s="1"/>
  <c r="XQ49" i="1"/>
  <c r="WR49" i="1"/>
  <c r="VZ49" i="1"/>
  <c r="VU49" i="1"/>
  <c r="ACB55" i="1"/>
  <c r="ACG55" i="1" s="1"/>
  <c r="QF55" i="1"/>
  <c r="ACB53" i="1"/>
  <c r="ACG53" i="1" s="1"/>
  <c r="QF53" i="1"/>
  <c r="AEA13" i="1"/>
  <c r="AED13" i="1" s="1"/>
  <c r="ACO13" i="1"/>
  <c r="ACM13" i="1"/>
  <c r="RM13" i="1"/>
  <c r="WQ54" i="1"/>
  <c r="WS54" i="1" s="1"/>
  <c r="XQ54" i="1"/>
  <c r="XN54" i="1"/>
  <c r="WR54" i="1"/>
  <c r="VZ54" i="1"/>
  <c r="VU54" i="1"/>
  <c r="ACD59" i="1"/>
  <c r="ACK59" i="1"/>
  <c r="ZV60" i="1"/>
  <c r="ZZ60" i="1" s="1"/>
  <c r="QD60" i="1"/>
  <c r="QG34" i="1"/>
  <c r="PT39" i="1"/>
  <c r="LJ42" i="1"/>
  <c r="ACG52" i="1"/>
  <c r="ZZ54" i="1"/>
  <c r="PT24" i="1"/>
  <c r="ZZ49" i="1"/>
  <c r="ACG57" i="1"/>
  <c r="WJ34" i="1"/>
  <c r="VW34" i="1"/>
  <c r="PT28" i="1"/>
  <c r="PX54" i="1"/>
  <c r="PT15" i="1"/>
  <c r="PT33" i="1"/>
  <c r="PT27" i="1"/>
  <c r="RE54" i="1"/>
  <c r="RF54" i="1" s="1"/>
  <c r="RG54" i="1" s="1"/>
  <c r="RE49" i="1"/>
  <c r="RF49" i="1" s="1"/>
  <c r="RG49" i="1" s="1"/>
  <c r="RH57" i="1"/>
  <c r="RI57" i="1" s="1"/>
  <c r="RL57" i="1" s="1"/>
  <c r="RG47" i="1"/>
  <c r="RE51" i="1"/>
  <c r="RF51" i="1" s="1"/>
  <c r="RG51" i="1" s="1"/>
  <c r="PH45" i="1" l="1"/>
  <c r="RG46" i="1"/>
  <c r="RG56" i="1"/>
  <c r="QC14" i="2"/>
  <c r="RE14" i="2" s="1"/>
  <c r="RF14" i="2" s="1"/>
  <c r="PW14" i="2"/>
  <c r="PZ11" i="2"/>
  <c r="QG11" i="2" s="1"/>
  <c r="PU11" i="2"/>
  <c r="PU14" i="2"/>
  <c r="PZ14" i="2"/>
  <c r="PO10" i="2"/>
  <c r="VR10" i="2"/>
  <c r="PN10" i="2"/>
  <c r="AAQ13" i="2"/>
  <c r="LM13" i="2"/>
  <c r="PJ13" i="2"/>
  <c r="PP12" i="2"/>
  <c r="PV12" i="2" s="1"/>
  <c r="PI12" i="2"/>
  <c r="AAQ12" i="2"/>
  <c r="LM12" i="2"/>
  <c r="PJ12" i="2"/>
  <c r="AAQ11" i="2"/>
  <c r="LM11" i="2"/>
  <c r="PJ11" i="2"/>
  <c r="YZ10" i="2"/>
  <c r="LL10" i="2"/>
  <c r="LK10" i="2"/>
  <c r="PH10" i="2"/>
  <c r="PZ12" i="2"/>
  <c r="PU12" i="2"/>
  <c r="PZ13" i="2"/>
  <c r="QG13" i="2" s="1"/>
  <c r="PU13" i="2"/>
  <c r="PR14" i="2"/>
  <c r="PX14" i="2" s="1"/>
  <c r="PK14" i="2"/>
  <c r="AAO14" i="2"/>
  <c r="ADD14" i="2"/>
  <c r="ADC14" i="2" s="1"/>
  <c r="PQ14" i="2"/>
  <c r="ZU14" i="2"/>
  <c r="US14" i="2"/>
  <c r="PP13" i="2"/>
  <c r="PV13" i="2" s="1"/>
  <c r="PI13" i="2"/>
  <c r="YY13" i="2"/>
  <c r="YY12" i="2"/>
  <c r="PP11" i="2"/>
  <c r="PI11" i="2"/>
  <c r="YY11" i="2"/>
  <c r="PT10" i="2"/>
  <c r="PU12" i="1"/>
  <c r="PZ12" i="1"/>
  <c r="QC30" i="1"/>
  <c r="UT30" i="1" s="1"/>
  <c r="PW30" i="1"/>
  <c r="AAB60" i="1"/>
  <c r="AAA60" i="1"/>
  <c r="ADQ53" i="1"/>
  <c r="ADR53" i="1" s="1"/>
  <c r="ACH53" i="1"/>
  <c r="ADY53" i="1"/>
  <c r="AEC53" i="1" s="1"/>
  <c r="ACI53" i="1"/>
  <c r="ACJ53" i="1"/>
  <c r="ADQ55" i="1"/>
  <c r="ADR55" i="1" s="1"/>
  <c r="ACH55" i="1"/>
  <c r="ADY55" i="1"/>
  <c r="AEC55" i="1" s="1"/>
  <c r="ACI55" i="1"/>
  <c r="ACJ55" i="1"/>
  <c r="QC10" i="1"/>
  <c r="RE10" i="1" s="1"/>
  <c r="RF10" i="1" s="1"/>
  <c r="PW10" i="1"/>
  <c r="PZ33" i="1"/>
  <c r="QG33" i="1" s="1"/>
  <c r="PU33" i="1"/>
  <c r="PU15" i="1"/>
  <c r="PZ15" i="1"/>
  <c r="ADQ57" i="1"/>
  <c r="ADR57" i="1" s="1"/>
  <c r="ACH57" i="1"/>
  <c r="ADY57" i="1"/>
  <c r="AEC57" i="1" s="1"/>
  <c r="ACI57" i="1"/>
  <c r="ACJ57" i="1"/>
  <c r="PZ24" i="1"/>
  <c r="PU24" i="1"/>
  <c r="ADQ52" i="1"/>
  <c r="ADR52" i="1" s="1"/>
  <c r="ACH52" i="1"/>
  <c r="ADY52" i="1"/>
  <c r="AEC52" i="1" s="1"/>
  <c r="ACI52" i="1"/>
  <c r="ACJ52" i="1"/>
  <c r="YZ42" i="1"/>
  <c r="LK42" i="1"/>
  <c r="LL42" i="1"/>
  <c r="PH42" i="1"/>
  <c r="PZ39" i="1"/>
  <c r="PU39" i="1"/>
  <c r="ACQ13" i="1"/>
  <c r="ACV13" i="1"/>
  <c r="ACQ11" i="1"/>
  <c r="ACV11" i="1"/>
  <c r="PP26" i="1"/>
  <c r="PI26" i="1"/>
  <c r="YY26" i="1"/>
  <c r="ACQ22" i="1"/>
  <c r="ACV22" i="1"/>
  <c r="AEA9" i="1"/>
  <c r="AED9" i="1" s="1"/>
  <c r="ACO9" i="1"/>
  <c r="ACM9" i="1"/>
  <c r="RM9" i="1"/>
  <c r="ACD9" i="1"/>
  <c r="ACK9" i="1"/>
  <c r="YY15" i="1"/>
  <c r="PP29" i="1"/>
  <c r="PV29" i="1" s="1"/>
  <c r="PI29" i="1"/>
  <c r="AAQ29" i="1"/>
  <c r="LM29" i="1"/>
  <c r="PJ29" i="1"/>
  <c r="PN42" i="1"/>
  <c r="VR42" i="1"/>
  <c r="PO42" i="1"/>
  <c r="PR33" i="1"/>
  <c r="PX33" i="1" s="1"/>
  <c r="PK33" i="1"/>
  <c r="VR25" i="1"/>
  <c r="PN25" i="1"/>
  <c r="PO25" i="1"/>
  <c r="AAQ27" i="1"/>
  <c r="LM27" i="1"/>
  <c r="PJ27" i="1"/>
  <c r="YZ12" i="1"/>
  <c r="LL12" i="1"/>
  <c r="LK12" i="1"/>
  <c r="PH12" i="1"/>
  <c r="AAQ23" i="1"/>
  <c r="LM23" i="1"/>
  <c r="PJ23" i="1"/>
  <c r="AAC52" i="1"/>
  <c r="ZX52" i="1"/>
  <c r="AAB55" i="1"/>
  <c r="AAA55" i="1"/>
  <c r="AAQ31" i="1"/>
  <c r="LM31" i="1"/>
  <c r="PJ31" i="1"/>
  <c r="VR16" i="1"/>
  <c r="PO16" i="1"/>
  <c r="PN16" i="1"/>
  <c r="PN41" i="1"/>
  <c r="VR41" i="1"/>
  <c r="PO41" i="1"/>
  <c r="WB46" i="1"/>
  <c r="YQ46" i="1"/>
  <c r="YT46" i="1" s="1"/>
  <c r="WG46" i="1"/>
  <c r="QA26" i="1"/>
  <c r="VS26" i="1"/>
  <c r="VW26" i="1" s="1"/>
  <c r="QB26" i="1"/>
  <c r="XQ56" i="1"/>
  <c r="WR56" i="1"/>
  <c r="VZ56" i="1"/>
  <c r="VU56" i="1"/>
  <c r="XN56" i="1"/>
  <c r="WQ56" i="1"/>
  <c r="WS56" i="1" s="1"/>
  <c r="YQ56" i="1"/>
  <c r="YT56" i="1" s="1"/>
  <c r="WB56" i="1"/>
  <c r="WG56" i="1"/>
  <c r="PU36" i="1"/>
  <c r="PZ36" i="1"/>
  <c r="WJ36" i="1" s="1"/>
  <c r="ZU34" i="1"/>
  <c r="PQ34" i="1"/>
  <c r="AAL53" i="1"/>
  <c r="AAG53" i="1"/>
  <c r="AAE53" i="1"/>
  <c r="PP44" i="1"/>
  <c r="PI44" i="1"/>
  <c r="PZ43" i="1"/>
  <c r="PU43" i="1"/>
  <c r="AAB51" i="1"/>
  <c r="AAA51" i="1"/>
  <c r="ACV59" i="1"/>
  <c r="ACQ59" i="1"/>
  <c r="PP28" i="1"/>
  <c r="PI28" i="1"/>
  <c r="AAQ28" i="1"/>
  <c r="LM28" i="1"/>
  <c r="PJ28" i="1"/>
  <c r="PN37" i="1"/>
  <c r="VR37" i="1"/>
  <c r="PO37" i="1"/>
  <c r="VR17" i="1"/>
  <c r="PO17" i="1"/>
  <c r="PN17" i="1"/>
  <c r="AEA20" i="1"/>
  <c r="AED20" i="1" s="1"/>
  <c r="ACO20" i="1"/>
  <c r="ACM20" i="1"/>
  <c r="RM20" i="1"/>
  <c r="PN45" i="1"/>
  <c r="VR45" i="1"/>
  <c r="PO45" i="1"/>
  <c r="ZU33" i="1"/>
  <c r="PQ33" i="1"/>
  <c r="PP32" i="1"/>
  <c r="PI32" i="1"/>
  <c r="YY32" i="1"/>
  <c r="VS30" i="1"/>
  <c r="VW30" i="1" s="1"/>
  <c r="QB30" i="1"/>
  <c r="QA30" i="1"/>
  <c r="RR30" i="1"/>
  <c r="RS30" i="1" s="1"/>
  <c r="WJ30" i="1"/>
  <c r="UR30" i="1"/>
  <c r="LM43" i="1"/>
  <c r="AAQ43" i="1"/>
  <c r="PJ43" i="1"/>
  <c r="YY43" i="1"/>
  <c r="YY21" i="1"/>
  <c r="AAQ21" i="1"/>
  <c r="LM21" i="1"/>
  <c r="PJ21" i="1"/>
  <c r="VR35" i="1"/>
  <c r="PO35" i="1"/>
  <c r="PN35" i="1"/>
  <c r="XN60" i="1"/>
  <c r="WQ60" i="1"/>
  <c r="WS60" i="1" s="1"/>
  <c r="XQ60" i="1"/>
  <c r="WR60" i="1"/>
  <c r="VZ60" i="1"/>
  <c r="VU60" i="1"/>
  <c r="AAO30" i="1"/>
  <c r="ADD30" i="1"/>
  <c r="ADC30" i="1" s="1"/>
  <c r="ADD34" i="1"/>
  <c r="ADC34" i="1" s="1"/>
  <c r="AAO34" i="1"/>
  <c r="LL16" i="1"/>
  <c r="YZ16" i="1"/>
  <c r="LK16" i="1"/>
  <c r="PH16" i="1"/>
  <c r="LL35" i="1"/>
  <c r="YZ35" i="1"/>
  <c r="LK35" i="1"/>
  <c r="PH35" i="1"/>
  <c r="AAQ24" i="1"/>
  <c r="LM24" i="1"/>
  <c r="PJ24" i="1"/>
  <c r="LL36" i="1"/>
  <c r="YZ36" i="1"/>
  <c r="LK36" i="1"/>
  <c r="PH36" i="1"/>
  <c r="AAQ38" i="1"/>
  <c r="LM38" i="1"/>
  <c r="PJ38" i="1"/>
  <c r="AAQ40" i="1"/>
  <c r="LM40" i="1"/>
  <c r="PJ40" i="1"/>
  <c r="QA21" i="1"/>
  <c r="VS21" i="1"/>
  <c r="QB21" i="1"/>
  <c r="ACB51" i="1"/>
  <c r="ACG51" i="1" s="1"/>
  <c r="QF51" i="1"/>
  <c r="QA32" i="1"/>
  <c r="VS32" i="1"/>
  <c r="QB32" i="1"/>
  <c r="QF46" i="1"/>
  <c r="ACB46" i="1"/>
  <c r="ACG46" i="1" s="1"/>
  <c r="QA31" i="1"/>
  <c r="VS31" i="1"/>
  <c r="QB31" i="1"/>
  <c r="AAE47" i="1"/>
  <c r="AAL47" i="1"/>
  <c r="AAG47" i="1"/>
  <c r="ACB60" i="1"/>
  <c r="QF60" i="1"/>
  <c r="ACB56" i="1"/>
  <c r="QF56" i="1"/>
  <c r="QA38" i="1"/>
  <c r="VS38" i="1"/>
  <c r="QB38" i="1"/>
  <c r="AAC57" i="1"/>
  <c r="ZX57" i="1"/>
  <c r="PT42" i="1"/>
  <c r="PT25" i="1"/>
  <c r="ACG60" i="1"/>
  <c r="PT41" i="1"/>
  <c r="QG26" i="1"/>
  <c r="PT37" i="1"/>
  <c r="PT45" i="1"/>
  <c r="WJ26" i="1"/>
  <c r="UR26" i="1"/>
  <c r="QG21" i="1"/>
  <c r="QG32" i="1"/>
  <c r="QG31" i="1"/>
  <c r="QG38" i="1"/>
  <c r="PZ27" i="1"/>
  <c r="PU27" i="1"/>
  <c r="QE54" i="1"/>
  <c r="PY54" i="1"/>
  <c r="RH54" i="1"/>
  <c r="RI54" i="1" s="1"/>
  <c r="RL54" i="1" s="1"/>
  <c r="PU28" i="1"/>
  <c r="PZ28" i="1"/>
  <c r="YF34" i="1"/>
  <c r="YG34" i="1" s="1"/>
  <c r="YO34" i="1"/>
  <c r="YS34" i="1" s="1"/>
  <c r="VY34" i="1"/>
  <c r="WH34" i="1"/>
  <c r="VX34" i="1"/>
  <c r="AAB49" i="1"/>
  <c r="AAA49" i="1"/>
  <c r="AAB54" i="1"/>
  <c r="AAA54" i="1"/>
  <c r="RC34" i="1"/>
  <c r="RD34" i="1" s="1"/>
  <c r="QI34" i="1"/>
  <c r="WU34" i="1"/>
  <c r="WI34" i="1"/>
  <c r="QH34" i="1"/>
  <c r="QJ34" i="1" s="1"/>
  <c r="RV34" i="1" s="1"/>
  <c r="WV34" i="1"/>
  <c r="AAQ26" i="1"/>
  <c r="LM26" i="1"/>
  <c r="PJ26" i="1"/>
  <c r="PI15" i="1"/>
  <c r="PP15" i="1"/>
  <c r="AAQ15" i="1"/>
  <c r="LM15" i="1"/>
  <c r="PJ15" i="1"/>
  <c r="YY29" i="1"/>
  <c r="AAO33" i="1"/>
  <c r="ADD33" i="1"/>
  <c r="ADC33" i="1" s="1"/>
  <c r="XQ51" i="1"/>
  <c r="WR51" i="1"/>
  <c r="VZ51" i="1"/>
  <c r="VU51" i="1"/>
  <c r="XN51" i="1"/>
  <c r="WQ51" i="1"/>
  <c r="WS51" i="1" s="1"/>
  <c r="YQ51" i="1"/>
  <c r="YT51" i="1" s="1"/>
  <c r="WB51" i="1"/>
  <c r="WG51" i="1"/>
  <c r="PP27" i="1"/>
  <c r="PI27" i="1"/>
  <c r="YY27" i="1"/>
  <c r="PP23" i="1"/>
  <c r="PV23" i="1" s="1"/>
  <c r="PI23" i="1"/>
  <c r="YY23" i="1"/>
  <c r="AAL52" i="1"/>
  <c r="AAG52" i="1"/>
  <c r="AAE52" i="1"/>
  <c r="PP31" i="1"/>
  <c r="PV31" i="1" s="1"/>
  <c r="PI31" i="1"/>
  <c r="YY31" i="1"/>
  <c r="XN46" i="1"/>
  <c r="WQ46" i="1"/>
  <c r="WS46" i="1" s="1"/>
  <c r="XQ46" i="1"/>
  <c r="WR46" i="1"/>
  <c r="VZ46" i="1"/>
  <c r="VU46" i="1"/>
  <c r="PP45" i="1"/>
  <c r="PI45" i="1"/>
  <c r="LM45" i="1"/>
  <c r="AAQ45" i="1"/>
  <c r="PJ45" i="1"/>
  <c r="YY45" i="1"/>
  <c r="VR36" i="1"/>
  <c r="PO36" i="1"/>
  <c r="PN36" i="1"/>
  <c r="UR36" i="1"/>
  <c r="RR36" i="1"/>
  <c r="RS36" i="1" s="1"/>
  <c r="PR10" i="1"/>
  <c r="PK10" i="1"/>
  <c r="AAO10" i="1"/>
  <c r="ADD10" i="1"/>
  <c r="ADC10" i="1" s="1"/>
  <c r="PQ10" i="1"/>
  <c r="ZU10" i="1"/>
  <c r="UT10" i="1"/>
  <c r="QC34" i="1"/>
  <c r="PW34" i="1"/>
  <c r="ZV46" i="1"/>
  <c r="ZZ46" i="1" s="1"/>
  <c r="QD46" i="1"/>
  <c r="US46" i="1"/>
  <c r="UT46" i="1"/>
  <c r="VS10" i="1"/>
  <c r="VW10" i="1" s="1"/>
  <c r="QA10" i="1"/>
  <c r="QB10" i="1"/>
  <c r="RR10" i="1"/>
  <c r="RS10" i="1" s="1"/>
  <c r="UR10" i="1"/>
  <c r="WJ10" i="1"/>
  <c r="AAC53" i="1"/>
  <c r="ZX53" i="1"/>
  <c r="PP39" i="1"/>
  <c r="PV39" i="1" s="1"/>
  <c r="PI39" i="1"/>
  <c r="LM39" i="1"/>
  <c r="AAQ39" i="1"/>
  <c r="PJ39" i="1"/>
  <c r="YY39" i="1"/>
  <c r="LM44" i="1"/>
  <c r="AAQ44" i="1"/>
  <c r="PJ44" i="1"/>
  <c r="YY44" i="1"/>
  <c r="QD56" i="1"/>
  <c r="ZV56" i="1"/>
  <c r="ZZ56" i="1" s="1"/>
  <c r="UT56" i="1"/>
  <c r="US56" i="1"/>
  <c r="ACB47" i="1"/>
  <c r="ACG47" i="1" s="1"/>
  <c r="QF47" i="1"/>
  <c r="UV47" i="1"/>
  <c r="UU47" i="1"/>
  <c r="PZ44" i="1"/>
  <c r="QG44" i="1" s="1"/>
  <c r="PU44" i="1"/>
  <c r="YZ41" i="1"/>
  <c r="LK41" i="1"/>
  <c r="LL41" i="1"/>
  <c r="PH41" i="1"/>
  <c r="LK25" i="1"/>
  <c r="YZ25" i="1"/>
  <c r="LL25" i="1"/>
  <c r="PH25" i="1"/>
  <c r="YZ37" i="1"/>
  <c r="LK37" i="1"/>
  <c r="LL37" i="1"/>
  <c r="PH37" i="1"/>
  <c r="PZ40" i="1"/>
  <c r="QG40" i="1"/>
  <c r="PU40" i="1"/>
  <c r="YY28" i="1"/>
  <c r="ACD20" i="1"/>
  <c r="ACK20" i="1"/>
  <c r="LL17" i="1"/>
  <c r="YZ17" i="1"/>
  <c r="LK17" i="1"/>
  <c r="PH17" i="1"/>
  <c r="AAQ32" i="1"/>
  <c r="LM32" i="1"/>
  <c r="PJ32" i="1"/>
  <c r="WU30" i="1"/>
  <c r="WI30" i="1"/>
  <c r="QH30" i="1"/>
  <c r="QJ30" i="1" s="1"/>
  <c r="RV30" i="1" s="1"/>
  <c r="RC30" i="1"/>
  <c r="RD30" i="1" s="1"/>
  <c r="QI30" i="1"/>
  <c r="WV30" i="1"/>
  <c r="PP43" i="1"/>
  <c r="PV43" i="1" s="1"/>
  <c r="PI43" i="1"/>
  <c r="PI21" i="1"/>
  <c r="PP21" i="1"/>
  <c r="ACQ50" i="1"/>
  <c r="ACV50" i="1"/>
  <c r="ACQ14" i="1"/>
  <c r="ACV14" i="1"/>
  <c r="PO12" i="1"/>
  <c r="VR12" i="1"/>
  <c r="PN12" i="1"/>
  <c r="WJ12" i="1"/>
  <c r="UR12" i="1"/>
  <c r="RR12" i="1"/>
  <c r="RS12" i="1" s="1"/>
  <c r="WB60" i="1"/>
  <c r="YQ60" i="1"/>
  <c r="YT60" i="1" s="1"/>
  <c r="WG60" i="1"/>
  <c r="PR30" i="1"/>
  <c r="PK30" i="1"/>
  <c r="ZU30" i="1"/>
  <c r="PQ30" i="1"/>
  <c r="US30" i="1"/>
  <c r="ACQ18" i="1"/>
  <c r="ACV18" i="1"/>
  <c r="ACO58" i="1"/>
  <c r="ACM58" i="1"/>
  <c r="RM58" i="1"/>
  <c r="AEA58" i="1"/>
  <c r="AED58" i="1" s="1"/>
  <c r="ACD58" i="1"/>
  <c r="ACK58" i="1"/>
  <c r="PR34" i="1"/>
  <c r="PX34" i="1" s="1"/>
  <c r="PK34" i="1"/>
  <c r="PP24" i="1"/>
  <c r="PI24" i="1"/>
  <c r="YY24" i="1"/>
  <c r="PP38" i="1"/>
  <c r="PV38" i="1" s="1"/>
  <c r="PI38" i="1"/>
  <c r="YY38" i="1"/>
  <c r="PP40" i="1"/>
  <c r="PI40" i="1"/>
  <c r="YY40" i="1"/>
  <c r="QA23" i="1"/>
  <c r="VS23" i="1"/>
  <c r="QB23" i="1"/>
  <c r="QA29" i="1"/>
  <c r="VS29" i="1"/>
  <c r="VW29" i="1" s="1"/>
  <c r="QB29" i="1"/>
  <c r="AAC47" i="1"/>
  <c r="ZX47" i="1"/>
  <c r="ACB49" i="1"/>
  <c r="ACG49" i="1" s="1"/>
  <c r="QF49" i="1"/>
  <c r="AAL57" i="1"/>
  <c r="AAG57" i="1"/>
  <c r="AAE57" i="1"/>
  <c r="VW23" i="1"/>
  <c r="VW21" i="1"/>
  <c r="VW32" i="1"/>
  <c r="PT16" i="1"/>
  <c r="VW31" i="1"/>
  <c r="ACG56" i="1"/>
  <c r="VW38" i="1"/>
  <c r="QG10" i="1"/>
  <c r="PT17" i="1"/>
  <c r="PV33" i="1"/>
  <c r="PT35" i="1"/>
  <c r="RR26" i="1"/>
  <c r="RS26" i="1" s="1"/>
  <c r="QG23" i="1"/>
  <c r="RH51" i="1"/>
  <c r="RI51" i="1" s="1"/>
  <c r="RL51" i="1" s="1"/>
  <c r="RH46" i="1"/>
  <c r="RI46" i="1" s="1"/>
  <c r="RL46" i="1" s="1"/>
  <c r="QG29" i="1"/>
  <c r="RH56" i="1"/>
  <c r="RI56" i="1" s="1"/>
  <c r="RL56" i="1" s="1"/>
  <c r="US10" i="1" l="1"/>
  <c r="UT14" i="2"/>
  <c r="QC13" i="2"/>
  <c r="RE13" i="2" s="1"/>
  <c r="RF13" i="2" s="1"/>
  <c r="PW13" i="2"/>
  <c r="QC12" i="2"/>
  <c r="PW12" i="2"/>
  <c r="QH11" i="2"/>
  <c r="QJ11" i="2" s="1"/>
  <c r="RV11" i="2" s="1"/>
  <c r="WU11" i="2"/>
  <c r="WI11" i="2"/>
  <c r="RC11" i="2"/>
  <c r="RD11" i="2" s="1"/>
  <c r="QI11" i="2"/>
  <c r="WV11" i="2"/>
  <c r="PU10" i="2"/>
  <c r="PZ10" i="2"/>
  <c r="ZU11" i="2"/>
  <c r="PQ11" i="2"/>
  <c r="QE14" i="2"/>
  <c r="PY14" i="2"/>
  <c r="RH14" i="2"/>
  <c r="RI14" i="2" s="1"/>
  <c r="RL14" i="2" s="1"/>
  <c r="QH13" i="2"/>
  <c r="QJ13" i="2" s="1"/>
  <c r="RV13" i="2" s="1"/>
  <c r="WU13" i="2"/>
  <c r="WI13" i="2"/>
  <c r="RC13" i="2"/>
  <c r="RD13" i="2" s="1"/>
  <c r="QI13" i="2"/>
  <c r="WV13" i="2"/>
  <c r="QB12" i="2"/>
  <c r="VS12" i="2"/>
  <c r="VW12" i="2" s="1"/>
  <c r="QA12" i="2"/>
  <c r="WJ12" i="2"/>
  <c r="RR12" i="2"/>
  <c r="RS12" i="2" s="1"/>
  <c r="UR12" i="2"/>
  <c r="PP10" i="2"/>
  <c r="PI10" i="2"/>
  <c r="AAQ10" i="2"/>
  <c r="LM10" i="2"/>
  <c r="PJ10" i="2"/>
  <c r="ADD11" i="2"/>
  <c r="ADC11" i="2" s="1"/>
  <c r="AAO11" i="2"/>
  <c r="PR13" i="2"/>
  <c r="PX13" i="2" s="1"/>
  <c r="PK13" i="2"/>
  <c r="VS14" i="2"/>
  <c r="VW14" i="2" s="1"/>
  <c r="QA14" i="2"/>
  <c r="QB14" i="2"/>
  <c r="UR14" i="2"/>
  <c r="WJ14" i="2"/>
  <c r="RR14" i="2"/>
  <c r="RS14" i="2" s="1"/>
  <c r="QG14" i="2"/>
  <c r="ZU13" i="2"/>
  <c r="PQ13" i="2"/>
  <c r="UT13" i="2"/>
  <c r="US13" i="2"/>
  <c r="ACA14" i="2"/>
  <c r="PS14" i="2"/>
  <c r="UU14" i="2"/>
  <c r="UV14" i="2"/>
  <c r="QB13" i="2"/>
  <c r="VS13" i="2"/>
  <c r="VW13" i="2" s="1"/>
  <c r="QA13" i="2"/>
  <c r="UR13" i="2"/>
  <c r="WJ13" i="2"/>
  <c r="RR13" i="2"/>
  <c r="RS13" i="2" s="1"/>
  <c r="YY10" i="2"/>
  <c r="PR11" i="2"/>
  <c r="PK11" i="2"/>
  <c r="PR12" i="2"/>
  <c r="PX12" i="2" s="1"/>
  <c r="PK12" i="2"/>
  <c r="ADD12" i="2"/>
  <c r="ADC12" i="2" s="1"/>
  <c r="AAO12" i="2"/>
  <c r="ZU12" i="2"/>
  <c r="PQ12" i="2"/>
  <c r="US12" i="2"/>
  <c r="UT12" i="2"/>
  <c r="ADD13" i="2"/>
  <c r="ADC13" i="2" s="1"/>
  <c r="AAO13" i="2"/>
  <c r="QB11" i="2"/>
  <c r="VS11" i="2"/>
  <c r="VW11" i="2" s="1"/>
  <c r="QA11" i="2"/>
  <c r="RR11" i="2"/>
  <c r="RS11" i="2" s="1"/>
  <c r="WJ11" i="2"/>
  <c r="UR11" i="2"/>
  <c r="ZV14" i="2"/>
  <c r="ZZ14" i="2" s="1"/>
  <c r="QD14" i="2"/>
  <c r="PV11" i="2"/>
  <c r="QG12" i="2"/>
  <c r="QC38" i="1"/>
  <c r="RE38" i="1" s="1"/>
  <c r="RF38" i="1" s="1"/>
  <c r="PW38" i="1"/>
  <c r="QC43" i="1"/>
  <c r="PW43" i="1"/>
  <c r="QC31" i="1"/>
  <c r="RE31" i="1" s="1"/>
  <c r="RF31" i="1" s="1"/>
  <c r="PW31" i="1"/>
  <c r="QC23" i="1"/>
  <c r="PW23" i="1"/>
  <c r="QE33" i="1"/>
  <c r="RH33" i="1" s="1"/>
  <c r="RI33" i="1" s="1"/>
  <c r="RL33" i="1" s="1"/>
  <c r="PY33" i="1"/>
  <c r="QC29" i="1"/>
  <c r="PW29" i="1"/>
  <c r="WU33" i="1"/>
  <c r="WI33" i="1"/>
  <c r="QH33" i="1"/>
  <c r="QJ33" i="1" s="1"/>
  <c r="RV33" i="1" s="1"/>
  <c r="RC33" i="1"/>
  <c r="RD33" i="1" s="1"/>
  <c r="QI33" i="1"/>
  <c r="WV33" i="1"/>
  <c r="QE34" i="1"/>
  <c r="PY34" i="1"/>
  <c r="RH34" i="1"/>
  <c r="RI34" i="1" s="1"/>
  <c r="RL34" i="1" s="1"/>
  <c r="WU44" i="1"/>
  <c r="WI44" i="1"/>
  <c r="QH44" i="1"/>
  <c r="QJ44" i="1" s="1"/>
  <c r="RV44" i="1" s="1"/>
  <c r="RC44" i="1"/>
  <c r="RD44" i="1" s="1"/>
  <c r="QI44" i="1"/>
  <c r="WV44" i="1"/>
  <c r="QC39" i="1"/>
  <c r="RE39" i="1" s="1"/>
  <c r="RF39" i="1" s="1"/>
  <c r="PW39" i="1"/>
  <c r="RC29" i="1"/>
  <c r="RD29" i="1" s="1"/>
  <c r="QI29" i="1"/>
  <c r="WU29" i="1"/>
  <c r="WI29" i="1"/>
  <c r="QH29" i="1"/>
  <c r="QJ29" i="1" s="1"/>
  <c r="RV29" i="1" s="1"/>
  <c r="WV29" i="1"/>
  <c r="RE33" i="1"/>
  <c r="RF33" i="1" s="1"/>
  <c r="QC33" i="1"/>
  <c r="PW33" i="1"/>
  <c r="WU10" i="1"/>
  <c r="WI10" i="1"/>
  <c r="RC10" i="1"/>
  <c r="RD10" i="1" s="1"/>
  <c r="QI10" i="1"/>
  <c r="QH10" i="1"/>
  <c r="QJ10" i="1" s="1"/>
  <c r="RV10" i="1" s="1"/>
  <c r="WV10" i="1"/>
  <c r="YF38" i="1"/>
  <c r="YG38" i="1" s="1"/>
  <c r="VX38" i="1"/>
  <c r="YO38" i="1"/>
  <c r="YS38" i="1" s="1"/>
  <c r="VY38" i="1"/>
  <c r="WH38" i="1"/>
  <c r="YF31" i="1"/>
  <c r="YG31" i="1" s="1"/>
  <c r="VX31" i="1"/>
  <c r="YO31" i="1"/>
  <c r="YS31" i="1" s="1"/>
  <c r="VY31" i="1"/>
  <c r="WH31" i="1"/>
  <c r="YF21" i="1"/>
  <c r="YG21" i="1" s="1"/>
  <c r="WH21" i="1"/>
  <c r="YO21" i="1"/>
  <c r="YS21" i="1" s="1"/>
  <c r="VX21" i="1"/>
  <c r="VY21" i="1"/>
  <c r="ZU40" i="1"/>
  <c r="PQ40" i="1"/>
  <c r="ZU24" i="1"/>
  <c r="PQ24" i="1"/>
  <c r="ACQ58" i="1"/>
  <c r="ACV58" i="1"/>
  <c r="ACA30" i="1"/>
  <c r="PS30" i="1"/>
  <c r="PR32" i="1"/>
  <c r="PK32" i="1"/>
  <c r="PP17" i="1"/>
  <c r="PI17" i="1"/>
  <c r="YY17" i="1"/>
  <c r="QB40" i="1"/>
  <c r="VS40" i="1"/>
  <c r="VW40" i="1" s="1"/>
  <c r="QA40" i="1"/>
  <c r="RR40" i="1"/>
  <c r="RS40" i="1" s="1"/>
  <c r="UR40" i="1"/>
  <c r="WJ40" i="1"/>
  <c r="LM37" i="1"/>
  <c r="AAQ37" i="1"/>
  <c r="PJ37" i="1"/>
  <c r="YY37" i="1"/>
  <c r="AAQ25" i="1"/>
  <c r="LM25" i="1"/>
  <c r="PJ25" i="1"/>
  <c r="PP41" i="1"/>
  <c r="PI41" i="1"/>
  <c r="LM41" i="1"/>
  <c r="AAQ41" i="1"/>
  <c r="PJ41" i="1"/>
  <c r="YY41" i="1"/>
  <c r="AAB56" i="1"/>
  <c r="AAA56" i="1"/>
  <c r="PR44" i="1"/>
  <c r="PK44" i="1"/>
  <c r="AAO39" i="1"/>
  <c r="ADD39" i="1"/>
  <c r="ADC39" i="1" s="1"/>
  <c r="YF10" i="1"/>
  <c r="YG10" i="1" s="1"/>
  <c r="VY10" i="1"/>
  <c r="YO10" i="1"/>
  <c r="YS10" i="1" s="1"/>
  <c r="VX10" i="1"/>
  <c r="WH10" i="1"/>
  <c r="AAB46" i="1"/>
  <c r="AAA46" i="1"/>
  <c r="ZV34" i="1"/>
  <c r="QD34" i="1"/>
  <c r="ACA10" i="1"/>
  <c r="PS10" i="1"/>
  <c r="ZU45" i="1"/>
  <c r="PQ45" i="1"/>
  <c r="ZU27" i="1"/>
  <c r="PQ27" i="1"/>
  <c r="ADD15" i="1"/>
  <c r="ADC15" i="1" s="1"/>
  <c r="AAO15" i="1"/>
  <c r="ADD26" i="1"/>
  <c r="ADC26" i="1" s="1"/>
  <c r="AAO26" i="1"/>
  <c r="AAC54" i="1"/>
  <c r="ZX54" i="1"/>
  <c r="AAC49" i="1"/>
  <c r="ZX49" i="1"/>
  <c r="VS28" i="1"/>
  <c r="VW28" i="1" s="1"/>
  <c r="QA28" i="1"/>
  <c r="QB28" i="1"/>
  <c r="UR28" i="1"/>
  <c r="RR28" i="1"/>
  <c r="RS28" i="1" s="1"/>
  <c r="WJ28" i="1"/>
  <c r="QB27" i="1"/>
  <c r="VS27" i="1"/>
  <c r="VW27" i="1" s="1"/>
  <c r="QA27" i="1"/>
  <c r="RR27" i="1"/>
  <c r="RS27" i="1" s="1"/>
  <c r="UR27" i="1"/>
  <c r="WJ27" i="1"/>
  <c r="RC31" i="1"/>
  <c r="RD31" i="1" s="1"/>
  <c r="QI31" i="1"/>
  <c r="WU31" i="1"/>
  <c r="WI31" i="1"/>
  <c r="QH31" i="1"/>
  <c r="QJ31" i="1" s="1"/>
  <c r="RV31" i="1" s="1"/>
  <c r="WV31" i="1"/>
  <c r="RC21" i="1"/>
  <c r="RD21" i="1" s="1"/>
  <c r="QI21" i="1"/>
  <c r="WI21" i="1"/>
  <c r="QH21" i="1"/>
  <c r="QJ21" i="1" s="1"/>
  <c r="RV21" i="1" s="1"/>
  <c r="WU21" i="1"/>
  <c r="WV21" i="1"/>
  <c r="PZ37" i="1"/>
  <c r="PU37" i="1"/>
  <c r="RC26" i="1"/>
  <c r="RD26" i="1" s="1"/>
  <c r="QI26" i="1"/>
  <c r="WU26" i="1"/>
  <c r="WI26" i="1"/>
  <c r="QH26" i="1"/>
  <c r="QJ26" i="1" s="1"/>
  <c r="RV26" i="1" s="1"/>
  <c r="WV26" i="1"/>
  <c r="ADQ60" i="1"/>
  <c r="ADR60" i="1" s="1"/>
  <c r="ACH60" i="1"/>
  <c r="ACJ60" i="1"/>
  <c r="ADY60" i="1"/>
  <c r="AEC60" i="1" s="1"/>
  <c r="ACI60" i="1"/>
  <c r="PZ25" i="1"/>
  <c r="PU25" i="1"/>
  <c r="ADQ51" i="1"/>
  <c r="ADR51" i="1" s="1"/>
  <c r="ACH51" i="1"/>
  <c r="ADY51" i="1"/>
  <c r="AEC51" i="1" s="1"/>
  <c r="ACI51" i="1"/>
  <c r="ACJ51" i="1"/>
  <c r="PR40" i="1"/>
  <c r="PX40" i="1" s="1"/>
  <c r="PK40" i="1"/>
  <c r="ADD40" i="1"/>
  <c r="ADC40" i="1" s="1"/>
  <c r="AAO40" i="1"/>
  <c r="PP36" i="1"/>
  <c r="PV36" i="1" s="1"/>
  <c r="PI36" i="1"/>
  <c r="YY36" i="1"/>
  <c r="PR24" i="1"/>
  <c r="PK24" i="1"/>
  <c r="ADD24" i="1"/>
  <c r="ADC24" i="1" s="1"/>
  <c r="AAO24" i="1"/>
  <c r="PP35" i="1"/>
  <c r="PI35" i="1"/>
  <c r="AAQ35" i="1"/>
  <c r="LM35" i="1"/>
  <c r="PJ35" i="1"/>
  <c r="AAQ16" i="1"/>
  <c r="LM16" i="1"/>
  <c r="PJ16" i="1"/>
  <c r="PR43" i="1"/>
  <c r="PX43" i="1" s="1"/>
  <c r="PK43" i="1"/>
  <c r="YF30" i="1"/>
  <c r="YG30" i="1" s="1"/>
  <c r="VY30" i="1"/>
  <c r="YO30" i="1"/>
  <c r="YS30" i="1" s="1"/>
  <c r="WH30" i="1"/>
  <c r="VX30" i="1"/>
  <c r="ZU32" i="1"/>
  <c r="PQ32" i="1"/>
  <c r="ACQ20" i="1"/>
  <c r="ACV20" i="1"/>
  <c r="PR28" i="1"/>
  <c r="PX28" i="1" s="1"/>
  <c r="PK28" i="1"/>
  <c r="AAO28" i="1"/>
  <c r="ADD28" i="1"/>
  <c r="ADC28" i="1" s="1"/>
  <c r="PQ28" i="1"/>
  <c r="ZU28" i="1"/>
  <c r="AAL51" i="1"/>
  <c r="AAG51" i="1"/>
  <c r="AAE51" i="1"/>
  <c r="VS43" i="1"/>
  <c r="VW43" i="1" s="1"/>
  <c r="QB43" i="1"/>
  <c r="QA43" i="1"/>
  <c r="RR43" i="1"/>
  <c r="RS43" i="1" s="1"/>
  <c r="UR43" i="1"/>
  <c r="WJ43" i="1"/>
  <c r="ZU44" i="1"/>
  <c r="PQ44" i="1"/>
  <c r="PR31" i="1"/>
  <c r="PK31" i="1"/>
  <c r="AAE55" i="1"/>
  <c r="AAL55" i="1"/>
  <c r="AAG55" i="1"/>
  <c r="PR23" i="1"/>
  <c r="PK23" i="1"/>
  <c r="ADD23" i="1"/>
  <c r="ADC23" i="1" s="1"/>
  <c r="AAO23" i="1"/>
  <c r="YY12" i="1"/>
  <c r="PR29" i="1"/>
  <c r="PK29" i="1"/>
  <c r="ZU26" i="1"/>
  <c r="PQ26" i="1"/>
  <c r="VS39" i="1"/>
  <c r="VW39" i="1" s="1"/>
  <c r="QB39" i="1"/>
  <c r="QA39" i="1"/>
  <c r="RR39" i="1"/>
  <c r="RS39" i="1" s="1"/>
  <c r="UR39" i="1"/>
  <c r="WJ39" i="1"/>
  <c r="LM42" i="1"/>
  <c r="AAQ42" i="1"/>
  <c r="PJ42" i="1"/>
  <c r="YY42" i="1"/>
  <c r="AEA52" i="1"/>
  <c r="AED52" i="1" s="1"/>
  <c r="RM52" i="1"/>
  <c r="ACO52" i="1"/>
  <c r="ACM52" i="1"/>
  <c r="QB24" i="1"/>
  <c r="VS24" i="1"/>
  <c r="VW24" i="1" s="1"/>
  <c r="QA24" i="1"/>
  <c r="UR24" i="1"/>
  <c r="WJ24" i="1"/>
  <c r="RR24" i="1"/>
  <c r="RS24" i="1" s="1"/>
  <c r="AEA57" i="1"/>
  <c r="AED57" i="1" s="1"/>
  <c r="ACO57" i="1"/>
  <c r="ACM57" i="1"/>
  <c r="RM57" i="1"/>
  <c r="VS15" i="1"/>
  <c r="VW15" i="1" s="1"/>
  <c r="QA15" i="1"/>
  <c r="QB15" i="1"/>
  <c r="RR15" i="1"/>
  <c r="RS15" i="1" s="1"/>
  <c r="UR15" i="1"/>
  <c r="WJ15" i="1"/>
  <c r="AEA55" i="1"/>
  <c r="AED55" i="1" s="1"/>
  <c r="ACO55" i="1"/>
  <c r="ACM55" i="1"/>
  <c r="RM55" i="1"/>
  <c r="ACK53" i="1"/>
  <c r="ACD53" i="1"/>
  <c r="AAC60" i="1"/>
  <c r="ZX60" i="1"/>
  <c r="ZV30" i="1"/>
  <c r="ZZ30" i="1" s="1"/>
  <c r="QD30" i="1"/>
  <c r="VS12" i="1"/>
  <c r="QA12" i="1"/>
  <c r="QB12" i="1"/>
  <c r="QG28" i="1"/>
  <c r="US34" i="1"/>
  <c r="ZZ34" i="1"/>
  <c r="QG15" i="1"/>
  <c r="QG12" i="1"/>
  <c r="RC23" i="1"/>
  <c r="RD23" i="1" s="1"/>
  <c r="QI23" i="1"/>
  <c r="WU23" i="1"/>
  <c r="WI23" i="1"/>
  <c r="QH23" i="1"/>
  <c r="QJ23" i="1" s="1"/>
  <c r="RV23" i="1" s="1"/>
  <c r="WV23" i="1"/>
  <c r="YF26" i="1"/>
  <c r="YG26" i="1" s="1"/>
  <c r="YO26" i="1"/>
  <c r="YS26" i="1" s="1"/>
  <c r="VY26" i="1"/>
  <c r="WH26" i="1"/>
  <c r="VX26" i="1"/>
  <c r="PU35" i="1"/>
  <c r="PZ35" i="1"/>
  <c r="PU17" i="1"/>
  <c r="PZ17" i="1"/>
  <c r="YF29" i="1"/>
  <c r="YG29" i="1" s="1"/>
  <c r="YO29" i="1"/>
  <c r="YS29" i="1" s="1"/>
  <c r="VX29" i="1"/>
  <c r="WH29" i="1"/>
  <c r="VY29" i="1"/>
  <c r="ADQ56" i="1"/>
  <c r="ADR56" i="1" s="1"/>
  <c r="ACH56" i="1"/>
  <c r="ADY56" i="1"/>
  <c r="AEC56" i="1" s="1"/>
  <c r="ACI56" i="1"/>
  <c r="ACJ56" i="1"/>
  <c r="PU16" i="1"/>
  <c r="PZ16" i="1"/>
  <c r="YF32" i="1"/>
  <c r="YG32" i="1" s="1"/>
  <c r="VX32" i="1"/>
  <c r="YO32" i="1"/>
  <c r="YS32" i="1" s="1"/>
  <c r="VY32" i="1"/>
  <c r="WH32" i="1"/>
  <c r="ADQ49" i="1"/>
  <c r="ADR49" i="1" s="1"/>
  <c r="ACH49" i="1"/>
  <c r="ACJ49" i="1"/>
  <c r="ADY49" i="1"/>
  <c r="AEC49" i="1" s="1"/>
  <c r="ACI49" i="1"/>
  <c r="YF23" i="1"/>
  <c r="YG23" i="1" s="1"/>
  <c r="YO23" i="1"/>
  <c r="YS23" i="1" s="1"/>
  <c r="VY23" i="1"/>
  <c r="WH23" i="1"/>
  <c r="VX23" i="1"/>
  <c r="ZU38" i="1"/>
  <c r="PQ38" i="1"/>
  <c r="US38" i="1"/>
  <c r="UT38" i="1"/>
  <c r="PS34" i="1"/>
  <c r="ACA34" i="1"/>
  <c r="UU34" i="1"/>
  <c r="UV34" i="1"/>
  <c r="ZU21" i="1"/>
  <c r="PQ21" i="1"/>
  <c r="ZU43" i="1"/>
  <c r="PQ43" i="1"/>
  <c r="US43" i="1"/>
  <c r="UT43" i="1"/>
  <c r="ADD32" i="1"/>
  <c r="ADC32" i="1" s="1"/>
  <c r="AAO32" i="1"/>
  <c r="AAQ17" i="1"/>
  <c r="LM17" i="1"/>
  <c r="PJ17" i="1"/>
  <c r="QH40" i="1"/>
  <c r="QJ40" i="1" s="1"/>
  <c r="RV40" i="1" s="1"/>
  <c r="WU40" i="1"/>
  <c r="WI40" i="1"/>
  <c r="RC40" i="1"/>
  <c r="RD40" i="1" s="1"/>
  <c r="QI40" i="1"/>
  <c r="WV40" i="1"/>
  <c r="PP37" i="1"/>
  <c r="PV37" i="1" s="1"/>
  <c r="PI37" i="1"/>
  <c r="PP25" i="1"/>
  <c r="PI25" i="1"/>
  <c r="YY25" i="1"/>
  <c r="VS44" i="1"/>
  <c r="VW44" i="1" s="1"/>
  <c r="QB44" i="1"/>
  <c r="QA44" i="1"/>
  <c r="RR44" i="1"/>
  <c r="RS44" i="1" s="1"/>
  <c r="WJ44" i="1"/>
  <c r="UR44" i="1"/>
  <c r="ACH47" i="1"/>
  <c r="ADQ47" i="1"/>
  <c r="ADR47" i="1" s="1"/>
  <c r="ACJ47" i="1"/>
  <c r="ADY47" i="1"/>
  <c r="AEC47" i="1" s="1"/>
  <c r="ACI47" i="1"/>
  <c r="ADD44" i="1"/>
  <c r="ADC44" i="1" s="1"/>
  <c r="AAO44" i="1"/>
  <c r="PR39" i="1"/>
  <c r="PX39" i="1" s="1"/>
  <c r="PK39" i="1"/>
  <c r="ZU39" i="1"/>
  <c r="PQ39" i="1"/>
  <c r="UT39" i="1"/>
  <c r="PR45" i="1"/>
  <c r="PK45" i="1"/>
  <c r="AAO45" i="1"/>
  <c r="ADD45" i="1"/>
  <c r="ADC45" i="1" s="1"/>
  <c r="ZU31" i="1"/>
  <c r="PQ31" i="1"/>
  <c r="UT31" i="1"/>
  <c r="US31" i="1"/>
  <c r="ZU23" i="1"/>
  <c r="PQ23" i="1"/>
  <c r="US23" i="1"/>
  <c r="UT23" i="1"/>
  <c r="PR15" i="1"/>
  <c r="PX15" i="1" s="1"/>
  <c r="PK15" i="1"/>
  <c r="PQ15" i="1"/>
  <c r="ZU15" i="1"/>
  <c r="PR26" i="1"/>
  <c r="PX26" i="1" s="1"/>
  <c r="PK26" i="1"/>
  <c r="AAE54" i="1"/>
  <c r="AAL54" i="1"/>
  <c r="AAG54" i="1"/>
  <c r="AAE49" i="1"/>
  <c r="AAL49" i="1"/>
  <c r="AAG49" i="1"/>
  <c r="YQ34" i="1"/>
  <c r="YT34" i="1" s="1"/>
  <c r="WB34" i="1"/>
  <c r="WG34" i="1"/>
  <c r="XQ34" i="1"/>
  <c r="WR34" i="1"/>
  <c r="VZ34" i="1"/>
  <c r="VU34" i="1"/>
  <c r="XN34" i="1"/>
  <c r="WQ34" i="1"/>
  <c r="WS34" i="1" s="1"/>
  <c r="ACB54" i="1"/>
  <c r="ACG54" i="1" s="1"/>
  <c r="QF54" i="1"/>
  <c r="UU54" i="1"/>
  <c r="UV54" i="1"/>
  <c r="RC38" i="1"/>
  <c r="RD38" i="1" s="1"/>
  <c r="QI38" i="1"/>
  <c r="WU38" i="1"/>
  <c r="WI38" i="1"/>
  <c r="QH38" i="1"/>
  <c r="QJ38" i="1" s="1"/>
  <c r="RV38" i="1" s="1"/>
  <c r="WV38" i="1"/>
  <c r="RC32" i="1"/>
  <c r="RD32" i="1" s="1"/>
  <c r="QI32" i="1"/>
  <c r="WU32" i="1"/>
  <c r="WI32" i="1"/>
  <c r="QH32" i="1"/>
  <c r="QJ32" i="1" s="1"/>
  <c r="RV32" i="1" s="1"/>
  <c r="WV32" i="1"/>
  <c r="PZ45" i="1"/>
  <c r="PU45" i="1"/>
  <c r="PZ41" i="1"/>
  <c r="QG41" i="1"/>
  <c r="PU41" i="1"/>
  <c r="ACH46" i="1"/>
  <c r="ADQ46" i="1"/>
  <c r="ADR46" i="1" s="1"/>
  <c r="ACJ46" i="1"/>
  <c r="ADY46" i="1"/>
  <c r="AEC46" i="1" s="1"/>
  <c r="ACI46" i="1"/>
  <c r="PZ42" i="1"/>
  <c r="QG42" i="1"/>
  <c r="PU42" i="1"/>
  <c r="PX38" i="1"/>
  <c r="PR38" i="1"/>
  <c r="PK38" i="1"/>
  <c r="ADD38" i="1"/>
  <c r="ADC38" i="1" s="1"/>
  <c r="AAO38" i="1"/>
  <c r="AAQ36" i="1"/>
  <c r="LM36" i="1"/>
  <c r="PJ36" i="1"/>
  <c r="YY35" i="1"/>
  <c r="PP16" i="1"/>
  <c r="PV16" i="1" s="1"/>
  <c r="PI16" i="1"/>
  <c r="YY16" i="1"/>
  <c r="PR21" i="1"/>
  <c r="PK21" i="1"/>
  <c r="ADD21" i="1"/>
  <c r="ADC21" i="1" s="1"/>
  <c r="AAO21" i="1"/>
  <c r="ADD43" i="1"/>
  <c r="ADC43" i="1" s="1"/>
  <c r="AAO43" i="1"/>
  <c r="AAC51" i="1"/>
  <c r="ZX51" i="1"/>
  <c r="QA36" i="1"/>
  <c r="VS36" i="1"/>
  <c r="QB36" i="1"/>
  <c r="ADD31" i="1"/>
  <c r="ADC31" i="1" s="1"/>
  <c r="AAO31" i="1"/>
  <c r="AAC55" i="1"/>
  <c r="ZX55" i="1"/>
  <c r="PP12" i="1"/>
  <c r="PI12" i="1"/>
  <c r="AAQ12" i="1"/>
  <c r="LM12" i="1"/>
  <c r="PJ12" i="1"/>
  <c r="PR27" i="1"/>
  <c r="PK27" i="1"/>
  <c r="ADD27" i="1"/>
  <c r="ADC27" i="1" s="1"/>
  <c r="AAO27" i="1"/>
  <c r="ACA33" i="1"/>
  <c r="PS33" i="1"/>
  <c r="UV33" i="1"/>
  <c r="UU33" i="1"/>
  <c r="ADD29" i="1"/>
  <c r="ADC29" i="1" s="1"/>
  <c r="AAO29" i="1"/>
  <c r="ZU29" i="1"/>
  <c r="PQ29" i="1"/>
  <c r="UT29" i="1"/>
  <c r="US29" i="1"/>
  <c r="ACQ9" i="1"/>
  <c r="ACV9" i="1"/>
  <c r="PP42" i="1"/>
  <c r="PV42" i="1" s="1"/>
  <c r="PI42" i="1"/>
  <c r="ACK52" i="1"/>
  <c r="ACD52" i="1"/>
  <c r="ACK57" i="1"/>
  <c r="ACD57" i="1"/>
  <c r="VS33" i="1"/>
  <c r="VW33" i="1" s="1"/>
  <c r="QB33" i="1"/>
  <c r="QA33" i="1"/>
  <c r="RR33" i="1"/>
  <c r="RS33" i="1" s="1"/>
  <c r="UR33" i="1"/>
  <c r="WJ33" i="1"/>
  <c r="ZV10" i="1"/>
  <c r="ZZ10" i="1" s="1"/>
  <c r="QD10" i="1"/>
  <c r="ACD55" i="1"/>
  <c r="ACK55" i="1"/>
  <c r="AEA53" i="1"/>
  <c r="AED53" i="1" s="1"/>
  <c r="ACO53" i="1"/>
  <c r="ACM53" i="1"/>
  <c r="RM53" i="1"/>
  <c r="AAE60" i="1"/>
  <c r="AAL60" i="1"/>
  <c r="AAG60" i="1"/>
  <c r="PV40" i="1"/>
  <c r="PV24" i="1"/>
  <c r="PX30" i="1"/>
  <c r="VW12" i="1"/>
  <c r="PV21" i="1"/>
  <c r="RE34" i="1"/>
  <c r="RF34" i="1" s="1"/>
  <c r="RG34" i="1" s="1"/>
  <c r="PX10" i="1"/>
  <c r="VW36" i="1"/>
  <c r="PV45" i="1"/>
  <c r="PV27" i="1"/>
  <c r="PV15" i="1"/>
  <c r="QG27" i="1"/>
  <c r="PV32" i="1"/>
  <c r="PV28" i="1"/>
  <c r="QG43" i="1"/>
  <c r="PV44" i="1"/>
  <c r="UT34" i="1"/>
  <c r="QG36" i="1"/>
  <c r="PV26" i="1"/>
  <c r="QG39" i="1"/>
  <c r="QG24" i="1"/>
  <c r="RE30" i="1"/>
  <c r="RF30" i="1" s="1"/>
  <c r="RG30" i="1" s="1"/>
  <c r="US39" i="1" l="1"/>
  <c r="RG31" i="1"/>
  <c r="RG38" i="1"/>
  <c r="QE13" i="2"/>
  <c r="RH13" i="2" s="1"/>
  <c r="RI13" i="2" s="1"/>
  <c r="RL13" i="2" s="1"/>
  <c r="PY13" i="2"/>
  <c r="AAB14" i="2"/>
  <c r="AAA14" i="2"/>
  <c r="YF11" i="2"/>
  <c r="YG11" i="2" s="1"/>
  <c r="VX11" i="2"/>
  <c r="YO11" i="2"/>
  <c r="YS11" i="2" s="1"/>
  <c r="VY11" i="2"/>
  <c r="WH11" i="2"/>
  <c r="QE12" i="2"/>
  <c r="PY12" i="2"/>
  <c r="ACA11" i="2"/>
  <c r="PS11" i="2"/>
  <c r="YF13" i="2"/>
  <c r="YG13" i="2" s="1"/>
  <c r="YO13" i="2"/>
  <c r="YS13" i="2" s="1"/>
  <c r="VY13" i="2"/>
  <c r="WH13" i="2"/>
  <c r="VX13" i="2"/>
  <c r="WU14" i="2"/>
  <c r="WI14" i="2"/>
  <c r="RC14" i="2"/>
  <c r="RD14" i="2" s="1"/>
  <c r="QI14" i="2"/>
  <c r="QH14" i="2"/>
  <c r="QJ14" i="2" s="1"/>
  <c r="RV14" i="2" s="1"/>
  <c r="WV14" i="2"/>
  <c r="ADD10" i="2"/>
  <c r="ADC10" i="2" s="1"/>
  <c r="AAO10" i="2"/>
  <c r="PQ10" i="2"/>
  <c r="ZU10" i="2"/>
  <c r="YF12" i="2"/>
  <c r="YG12" i="2" s="1"/>
  <c r="VX12" i="2"/>
  <c r="YO12" i="2"/>
  <c r="YS12" i="2" s="1"/>
  <c r="VY12" i="2"/>
  <c r="WH12" i="2"/>
  <c r="ACB14" i="2"/>
  <c r="QF14" i="2"/>
  <c r="QD12" i="2"/>
  <c r="ZV12" i="2"/>
  <c r="ZZ12" i="2" s="1"/>
  <c r="QH12" i="2"/>
  <c r="QJ12" i="2" s="1"/>
  <c r="RV12" i="2" s="1"/>
  <c r="WU12" i="2"/>
  <c r="WI12" i="2"/>
  <c r="RC12" i="2"/>
  <c r="RD12" i="2" s="1"/>
  <c r="QI12" i="2"/>
  <c r="WV12" i="2"/>
  <c r="QC11" i="2"/>
  <c r="RE11" i="2" s="1"/>
  <c r="RF11" i="2" s="1"/>
  <c r="RG11" i="2" s="1"/>
  <c r="PW11" i="2"/>
  <c r="ACA12" i="2"/>
  <c r="PS12" i="2"/>
  <c r="UU12" i="2"/>
  <c r="UV12" i="2"/>
  <c r="YF14" i="2"/>
  <c r="YG14" i="2" s="1"/>
  <c r="VX14" i="2"/>
  <c r="VY14" i="2"/>
  <c r="YO14" i="2"/>
  <c r="YS14" i="2" s="1"/>
  <c r="WH14" i="2"/>
  <c r="ACA13" i="2"/>
  <c r="PS13" i="2"/>
  <c r="UU13" i="2"/>
  <c r="PR10" i="2"/>
  <c r="PX10" i="2" s="1"/>
  <c r="PK10" i="2"/>
  <c r="VS10" i="2"/>
  <c r="VW10" i="2" s="1"/>
  <c r="QA10" i="2"/>
  <c r="QB10" i="2"/>
  <c r="WJ10" i="2"/>
  <c r="UR10" i="2"/>
  <c r="RR10" i="2"/>
  <c r="RS10" i="2" s="1"/>
  <c r="QD13" i="2"/>
  <c r="ZV13" i="2"/>
  <c r="ZZ13" i="2" s="1"/>
  <c r="PX11" i="2"/>
  <c r="ACG14" i="2"/>
  <c r="PV10" i="2"/>
  <c r="QG10" i="2"/>
  <c r="RE12" i="2"/>
  <c r="RF12" i="2" s="1"/>
  <c r="RG12" i="2" s="1"/>
  <c r="QC16" i="1"/>
  <c r="RE16" i="1" s="1"/>
  <c r="RF16" i="1" s="1"/>
  <c r="PW16" i="1"/>
  <c r="QE28" i="1"/>
  <c r="PY28" i="1"/>
  <c r="RH28" i="1"/>
  <c r="RI28" i="1" s="1"/>
  <c r="RL28" i="1" s="1"/>
  <c r="QC36" i="1"/>
  <c r="RE36" i="1" s="1"/>
  <c r="RF36" i="1" s="1"/>
  <c r="RG36" i="1" s="1"/>
  <c r="PW36" i="1"/>
  <c r="QE40" i="1"/>
  <c r="UV40" i="1" s="1"/>
  <c r="PY40" i="1"/>
  <c r="AAB10" i="1"/>
  <c r="AAA10" i="1"/>
  <c r="QC42" i="1"/>
  <c r="RE42" i="1" s="1"/>
  <c r="RF42" i="1" s="1"/>
  <c r="PW42" i="1"/>
  <c r="QE26" i="1"/>
  <c r="UU26" i="1" s="1"/>
  <c r="PY26" i="1"/>
  <c r="RH26" i="1"/>
  <c r="RI26" i="1" s="1"/>
  <c r="RL26" i="1" s="1"/>
  <c r="QE15" i="1"/>
  <c r="PY15" i="1"/>
  <c r="RH15" i="1"/>
  <c r="RI15" i="1" s="1"/>
  <c r="RL15" i="1" s="1"/>
  <c r="QE39" i="1"/>
  <c r="UV39" i="1" s="1"/>
  <c r="PY39" i="1"/>
  <c r="QC37" i="1"/>
  <c r="RE37" i="1" s="1"/>
  <c r="RF37" i="1" s="1"/>
  <c r="PW37" i="1"/>
  <c r="QE43" i="1"/>
  <c r="UU43" i="1" s="1"/>
  <c r="PY43" i="1"/>
  <c r="WU39" i="1"/>
  <c r="WI39" i="1"/>
  <c r="QH39" i="1"/>
  <c r="QJ39" i="1" s="1"/>
  <c r="RV39" i="1" s="1"/>
  <c r="RC39" i="1"/>
  <c r="RD39" i="1" s="1"/>
  <c r="QI39" i="1"/>
  <c r="WV39" i="1"/>
  <c r="RC36" i="1"/>
  <c r="RD36" i="1" s="1"/>
  <c r="QI36" i="1"/>
  <c r="WU36" i="1"/>
  <c r="WI36" i="1"/>
  <c r="QH36" i="1"/>
  <c r="QJ36" i="1" s="1"/>
  <c r="RV36" i="1" s="1"/>
  <c r="WV36" i="1"/>
  <c r="QC44" i="1"/>
  <c r="PW44" i="1"/>
  <c r="QC28" i="1"/>
  <c r="RE28" i="1" s="1"/>
  <c r="RF28" i="1" s="1"/>
  <c r="RG28" i="1" s="1"/>
  <c r="PW28" i="1"/>
  <c r="QC15" i="1"/>
  <c r="PW15" i="1"/>
  <c r="QC27" i="1"/>
  <c r="RE27" i="1" s="1"/>
  <c r="RF27" i="1" s="1"/>
  <c r="PW27" i="1"/>
  <c r="YF36" i="1"/>
  <c r="YG36" i="1" s="1"/>
  <c r="VX36" i="1"/>
  <c r="YO36" i="1"/>
  <c r="YS36" i="1" s="1"/>
  <c r="VY36" i="1"/>
  <c r="WH36" i="1"/>
  <c r="YF12" i="1"/>
  <c r="YG12" i="1" s="1"/>
  <c r="VX12" i="1"/>
  <c r="VY12" i="1"/>
  <c r="YO12" i="1"/>
  <c r="YS12" i="1" s="1"/>
  <c r="WH12" i="1"/>
  <c r="QC24" i="1"/>
  <c r="PW24" i="1"/>
  <c r="QC40" i="1"/>
  <c r="RE40" i="1" s="1"/>
  <c r="RF40" i="1" s="1"/>
  <c r="RG40" i="1" s="1"/>
  <c r="PW40" i="1"/>
  <c r="ACQ53" i="1"/>
  <c r="ACV53" i="1"/>
  <c r="ACA27" i="1"/>
  <c r="PS27" i="1"/>
  <c r="PR12" i="1"/>
  <c r="PK12" i="1"/>
  <c r="AAO12" i="1"/>
  <c r="ADD12" i="1"/>
  <c r="ADC12" i="1" s="1"/>
  <c r="PQ12" i="1"/>
  <c r="ZU12" i="1"/>
  <c r="PS21" i="1"/>
  <c r="ACA21" i="1"/>
  <c r="ADD36" i="1"/>
  <c r="ADC36" i="1" s="1"/>
  <c r="AAO36" i="1"/>
  <c r="QE38" i="1"/>
  <c r="UU38" i="1" s="1"/>
  <c r="PY38" i="1"/>
  <c r="RH38" i="1"/>
  <c r="RI38" i="1" s="1"/>
  <c r="RL38" i="1" s="1"/>
  <c r="WU42" i="1"/>
  <c r="WI42" i="1"/>
  <c r="QH42" i="1"/>
  <c r="QJ42" i="1" s="1"/>
  <c r="RV42" i="1" s="1"/>
  <c r="RC42" i="1"/>
  <c r="RD42" i="1" s="1"/>
  <c r="QI42" i="1"/>
  <c r="WV42" i="1"/>
  <c r="ACO46" i="1"/>
  <c r="ACM46" i="1"/>
  <c r="AEA46" i="1"/>
  <c r="AED46" i="1" s="1"/>
  <c r="RM46" i="1"/>
  <c r="ACD46" i="1"/>
  <c r="ACK46" i="1"/>
  <c r="WU41" i="1"/>
  <c r="WI41" i="1"/>
  <c r="QH41" i="1"/>
  <c r="QJ41" i="1" s="1"/>
  <c r="RV41" i="1" s="1"/>
  <c r="RC41" i="1"/>
  <c r="RD41" i="1" s="1"/>
  <c r="QI41" i="1"/>
  <c r="WV41" i="1"/>
  <c r="VS45" i="1"/>
  <c r="VW45" i="1" s="1"/>
  <c r="QB45" i="1"/>
  <c r="QA45" i="1"/>
  <c r="UR45" i="1"/>
  <c r="RR45" i="1"/>
  <c r="RS45" i="1" s="1"/>
  <c r="WJ45" i="1"/>
  <c r="ADQ54" i="1"/>
  <c r="ADR54" i="1" s="1"/>
  <c r="ACH54" i="1"/>
  <c r="ACJ54" i="1"/>
  <c r="ADY54" i="1"/>
  <c r="AEC54" i="1" s="1"/>
  <c r="ACI54" i="1"/>
  <c r="ACA45" i="1"/>
  <c r="PS45" i="1"/>
  <c r="ACO47" i="1"/>
  <c r="ACM47" i="1"/>
  <c r="RM47" i="1"/>
  <c r="AEA47" i="1"/>
  <c r="AED47" i="1" s="1"/>
  <c r="ACD47" i="1"/>
  <c r="ACK47" i="1"/>
  <c r="YF44" i="1"/>
  <c r="YG44" i="1" s="1"/>
  <c r="VX44" i="1"/>
  <c r="VY44" i="1"/>
  <c r="YO44" i="1"/>
  <c r="YS44" i="1" s="1"/>
  <c r="WH44" i="1"/>
  <c r="ZU25" i="1"/>
  <c r="PQ25" i="1"/>
  <c r="AEA49" i="1"/>
  <c r="AED49" i="1" s="1"/>
  <c r="ACO49" i="1"/>
  <c r="ACM49" i="1"/>
  <c r="RM49" i="1"/>
  <c r="ACD49" i="1"/>
  <c r="ACK49" i="1"/>
  <c r="XQ32" i="1"/>
  <c r="WR32" i="1"/>
  <c r="VZ32" i="1"/>
  <c r="VU32" i="1"/>
  <c r="XN32" i="1"/>
  <c r="WQ32" i="1"/>
  <c r="WS32" i="1" s="1"/>
  <c r="YQ32" i="1"/>
  <c r="YT32" i="1" s="1"/>
  <c r="WB32" i="1"/>
  <c r="WG32" i="1"/>
  <c r="QA16" i="1"/>
  <c r="QB16" i="1"/>
  <c r="VS16" i="1"/>
  <c r="VW16" i="1" s="1"/>
  <c r="WJ16" i="1"/>
  <c r="UR16" i="1"/>
  <c r="RR16" i="1"/>
  <c r="RS16" i="1" s="1"/>
  <c r="AEA56" i="1"/>
  <c r="AED56" i="1" s="1"/>
  <c r="ACO56" i="1"/>
  <c r="ACM56" i="1"/>
  <c r="RM56" i="1"/>
  <c r="XQ29" i="1"/>
  <c r="WR29" i="1"/>
  <c r="VZ29" i="1"/>
  <c r="VU29" i="1"/>
  <c r="XN29" i="1"/>
  <c r="WQ29" i="1"/>
  <c r="WS29" i="1" s="1"/>
  <c r="YQ29" i="1"/>
  <c r="YT29" i="1" s="1"/>
  <c r="WG29" i="1"/>
  <c r="WB29" i="1"/>
  <c r="QA35" i="1"/>
  <c r="VS35" i="1"/>
  <c r="VW35" i="1" s="1"/>
  <c r="QB35" i="1"/>
  <c r="UR35" i="1"/>
  <c r="WJ35" i="1"/>
  <c r="RR35" i="1"/>
  <c r="RS35" i="1" s="1"/>
  <c r="WU12" i="1"/>
  <c r="WI12" i="1"/>
  <c r="RC12" i="1"/>
  <c r="RD12" i="1" s="1"/>
  <c r="QI12" i="1"/>
  <c r="QH12" i="1"/>
  <c r="QJ12" i="1" s="1"/>
  <c r="RV12" i="1" s="1"/>
  <c r="WV12" i="1"/>
  <c r="AAB34" i="1"/>
  <c r="AAA34" i="1"/>
  <c r="AAB30" i="1"/>
  <c r="AAA30" i="1"/>
  <c r="ACQ55" i="1"/>
  <c r="ACV55" i="1"/>
  <c r="ACQ57" i="1"/>
  <c r="ACV57" i="1"/>
  <c r="YF24" i="1"/>
  <c r="YG24" i="1" s="1"/>
  <c r="YO24" i="1"/>
  <c r="YS24" i="1" s="1"/>
  <c r="VY24" i="1"/>
  <c r="WH24" i="1"/>
  <c r="VX24" i="1"/>
  <c r="YF39" i="1"/>
  <c r="YG39" i="1" s="1"/>
  <c r="VX39" i="1"/>
  <c r="RG39" i="1" s="1"/>
  <c r="VY39" i="1"/>
  <c r="YO39" i="1"/>
  <c r="YS39" i="1" s="1"/>
  <c r="WH39" i="1"/>
  <c r="ACA29" i="1"/>
  <c r="PS29" i="1"/>
  <c r="ACA23" i="1"/>
  <c r="PS23" i="1"/>
  <c r="PS31" i="1"/>
  <c r="ACA31" i="1"/>
  <c r="XN30" i="1"/>
  <c r="WQ30" i="1"/>
  <c r="WS30" i="1" s="1"/>
  <c r="XQ30" i="1"/>
  <c r="WR30" i="1"/>
  <c r="VZ30" i="1"/>
  <c r="VU30" i="1"/>
  <c r="PR35" i="1"/>
  <c r="PK35" i="1"/>
  <c r="ADD35" i="1"/>
  <c r="ADC35" i="1" s="1"/>
  <c r="AAO35" i="1"/>
  <c r="ZU35" i="1"/>
  <c r="PQ35" i="1"/>
  <c r="ACA24" i="1"/>
  <c r="PS24" i="1"/>
  <c r="AEA51" i="1"/>
  <c r="AED51" i="1" s="1"/>
  <c r="ACO51" i="1"/>
  <c r="ACM51" i="1"/>
  <c r="RM51" i="1"/>
  <c r="QB25" i="1"/>
  <c r="VS25" i="1"/>
  <c r="VW25" i="1" s="1"/>
  <c r="QA25" i="1"/>
  <c r="RR25" i="1"/>
  <c r="RS25" i="1" s="1"/>
  <c r="WJ25" i="1"/>
  <c r="UR25" i="1"/>
  <c r="VS37" i="1"/>
  <c r="VW37" i="1" s="1"/>
  <c r="QB37" i="1"/>
  <c r="QA37" i="1"/>
  <c r="UR37" i="1"/>
  <c r="WJ37" i="1"/>
  <c r="RR37" i="1"/>
  <c r="RS37" i="1" s="1"/>
  <c r="YF28" i="1"/>
  <c r="YG28" i="1" s="1"/>
  <c r="VY28" i="1"/>
  <c r="YO28" i="1"/>
  <c r="YS28" i="1" s="1"/>
  <c r="WH28" i="1"/>
  <c r="VX28" i="1"/>
  <c r="AAC46" i="1"/>
  <c r="ZX46" i="1"/>
  <c r="WG10" i="1"/>
  <c r="WB10" i="1"/>
  <c r="YQ10" i="1"/>
  <c r="YT10" i="1" s="1"/>
  <c r="XN10" i="1"/>
  <c r="WQ10" i="1"/>
  <c r="WS10" i="1" s="1"/>
  <c r="XQ10" i="1"/>
  <c r="WR10" i="1"/>
  <c r="VZ10" i="1"/>
  <c r="VU10" i="1"/>
  <c r="ACA44" i="1"/>
  <c r="PS44" i="1"/>
  <c r="AAL56" i="1"/>
  <c r="AAG56" i="1"/>
  <c r="AAE56" i="1"/>
  <c r="PR41" i="1"/>
  <c r="PX41" i="1" s="1"/>
  <c r="PK41" i="1"/>
  <c r="ZU41" i="1"/>
  <c r="PQ41" i="1"/>
  <c r="PR25" i="1"/>
  <c r="PK25" i="1"/>
  <c r="ADD25" i="1"/>
  <c r="ADC25" i="1" s="1"/>
  <c r="AAO25" i="1"/>
  <c r="AAO37" i="1"/>
  <c r="ADD37" i="1"/>
  <c r="ADC37" i="1" s="1"/>
  <c r="YF40" i="1"/>
  <c r="YG40" i="1" s="1"/>
  <c r="VX40" i="1"/>
  <c r="YO40" i="1"/>
  <c r="YS40" i="1" s="1"/>
  <c r="VY40" i="1"/>
  <c r="WH40" i="1"/>
  <c r="ZU17" i="1"/>
  <c r="PQ17" i="1"/>
  <c r="PS32" i="1"/>
  <c r="ACA32" i="1"/>
  <c r="XQ21" i="1"/>
  <c r="WR21" i="1"/>
  <c r="VZ21" i="1"/>
  <c r="VU21" i="1"/>
  <c r="XN21" i="1"/>
  <c r="WQ21" i="1"/>
  <c r="WS21" i="1" s="1"/>
  <c r="XQ31" i="1"/>
  <c r="WR31" i="1"/>
  <c r="VZ31" i="1"/>
  <c r="VU31" i="1"/>
  <c r="XN31" i="1"/>
  <c r="WQ31" i="1"/>
  <c r="WS31" i="1" s="1"/>
  <c r="YQ31" i="1"/>
  <c r="YT31" i="1" s="1"/>
  <c r="WB31" i="1"/>
  <c r="WG31" i="1"/>
  <c r="ZV33" i="1"/>
  <c r="ZZ33" i="1" s="1"/>
  <c r="QD33" i="1"/>
  <c r="UT33" i="1"/>
  <c r="US33" i="1"/>
  <c r="ZV29" i="1"/>
  <c r="QD29" i="1"/>
  <c r="ZV23" i="1"/>
  <c r="ZZ23" i="1" s="1"/>
  <c r="QD23" i="1"/>
  <c r="ZV43" i="1"/>
  <c r="ZZ43" i="1" s="1"/>
  <c r="QD43" i="1"/>
  <c r="ZZ29" i="1"/>
  <c r="QG16" i="1"/>
  <c r="QG35" i="1"/>
  <c r="RG10" i="1"/>
  <c r="QH24" i="1"/>
  <c r="QJ24" i="1" s="1"/>
  <c r="RV24" i="1" s="1"/>
  <c r="WU24" i="1"/>
  <c r="WI24" i="1"/>
  <c r="RC24" i="1"/>
  <c r="RD24" i="1" s="1"/>
  <c r="QI24" i="1"/>
  <c r="WV24" i="1"/>
  <c r="QC26" i="1"/>
  <c r="PW26" i="1"/>
  <c r="WU43" i="1"/>
  <c r="WI43" i="1"/>
  <c r="QH43" i="1"/>
  <c r="QJ43" i="1" s="1"/>
  <c r="RV43" i="1" s="1"/>
  <c r="RC43" i="1"/>
  <c r="RD43" i="1" s="1"/>
  <c r="QI43" i="1"/>
  <c r="WV43" i="1"/>
  <c r="QC32" i="1"/>
  <c r="RE32" i="1" s="1"/>
  <c r="RF32" i="1" s="1"/>
  <c r="RG32" i="1" s="1"/>
  <c r="PW32" i="1"/>
  <c r="QH27" i="1"/>
  <c r="QJ27" i="1" s="1"/>
  <c r="RV27" i="1" s="1"/>
  <c r="WU27" i="1"/>
  <c r="WI27" i="1"/>
  <c r="RC27" i="1"/>
  <c r="RD27" i="1" s="1"/>
  <c r="QI27" i="1"/>
  <c r="WV27" i="1"/>
  <c r="QC45" i="1"/>
  <c r="PW45" i="1"/>
  <c r="QE10" i="1"/>
  <c r="PY10" i="1"/>
  <c r="RH10" i="1"/>
  <c r="RI10" i="1" s="1"/>
  <c r="RL10" i="1" s="1"/>
  <c r="QC21" i="1"/>
  <c r="PW21" i="1"/>
  <c r="RH30" i="1"/>
  <c r="RI30" i="1" s="1"/>
  <c r="RL30" i="1" s="1"/>
  <c r="QE30" i="1"/>
  <c r="PY30" i="1"/>
  <c r="YF33" i="1"/>
  <c r="YG33" i="1" s="1"/>
  <c r="VX33" i="1"/>
  <c r="RG33" i="1" s="1"/>
  <c r="VY33" i="1"/>
  <c r="YO33" i="1"/>
  <c r="YS33" i="1" s="1"/>
  <c r="WH33" i="1"/>
  <c r="ZU42" i="1"/>
  <c r="PQ42" i="1"/>
  <c r="US42" i="1"/>
  <c r="ZU16" i="1"/>
  <c r="PQ16" i="1"/>
  <c r="US16" i="1"/>
  <c r="UT16" i="1"/>
  <c r="PX36" i="1"/>
  <c r="PR36" i="1"/>
  <c r="PK36" i="1"/>
  <c r="PS38" i="1"/>
  <c r="ACA38" i="1"/>
  <c r="UV38" i="1"/>
  <c r="VS42" i="1"/>
  <c r="VW42" i="1" s="1"/>
  <c r="QB42" i="1"/>
  <c r="QA42" i="1"/>
  <c r="UR42" i="1"/>
  <c r="RR42" i="1"/>
  <c r="RS42" i="1" s="1"/>
  <c r="WJ42" i="1"/>
  <c r="VS41" i="1"/>
  <c r="VW41" i="1" s="1"/>
  <c r="QB41" i="1"/>
  <c r="QA41" i="1"/>
  <c r="RR41" i="1"/>
  <c r="RS41" i="1" s="1"/>
  <c r="WJ41" i="1"/>
  <c r="UR41" i="1"/>
  <c r="PS26" i="1"/>
  <c r="ACA26" i="1"/>
  <c r="UV26" i="1"/>
  <c r="ACA15" i="1"/>
  <c r="PS15" i="1"/>
  <c r="UU15" i="1"/>
  <c r="UV15" i="1"/>
  <c r="ACA39" i="1"/>
  <c r="PS39" i="1"/>
  <c r="UU39" i="1"/>
  <c r="ZU37" i="1"/>
  <c r="PQ37" i="1"/>
  <c r="UT37" i="1"/>
  <c r="PK17" i="1"/>
  <c r="PR17" i="1"/>
  <c r="ADD17" i="1"/>
  <c r="ADC17" i="1" s="1"/>
  <c r="AAO17" i="1"/>
  <c r="YQ23" i="1"/>
  <c r="YT23" i="1" s="1"/>
  <c r="WB23" i="1"/>
  <c r="WG23" i="1"/>
  <c r="XQ23" i="1"/>
  <c r="WR23" i="1"/>
  <c r="VZ23" i="1"/>
  <c r="VU23" i="1"/>
  <c r="XN23" i="1"/>
  <c r="WQ23" i="1"/>
  <c r="WS23" i="1" s="1"/>
  <c r="ACK56" i="1"/>
  <c r="ACD56" i="1"/>
  <c r="QA17" i="1"/>
  <c r="QB17" i="1"/>
  <c r="VS17" i="1"/>
  <c r="VW17" i="1" s="1"/>
  <c r="WJ17" i="1"/>
  <c r="RR17" i="1"/>
  <c r="RS17" i="1" s="1"/>
  <c r="UR17" i="1"/>
  <c r="YQ26" i="1"/>
  <c r="YT26" i="1" s="1"/>
  <c r="WB26" i="1"/>
  <c r="WG26" i="1"/>
  <c r="XQ26" i="1"/>
  <c r="WR26" i="1"/>
  <c r="VZ26" i="1"/>
  <c r="VU26" i="1"/>
  <c r="XN26" i="1"/>
  <c r="WQ26" i="1"/>
  <c r="WS26" i="1" s="1"/>
  <c r="WU15" i="1"/>
  <c r="WI15" i="1"/>
  <c r="RC15" i="1"/>
  <c r="RD15" i="1" s="1"/>
  <c r="QI15" i="1"/>
  <c r="QH15" i="1"/>
  <c r="QJ15" i="1" s="1"/>
  <c r="RV15" i="1" s="1"/>
  <c r="WV15" i="1"/>
  <c r="WU28" i="1"/>
  <c r="WI28" i="1"/>
  <c r="RC28" i="1"/>
  <c r="RD28" i="1" s="1"/>
  <c r="QI28" i="1"/>
  <c r="QH28" i="1"/>
  <c r="QJ28" i="1" s="1"/>
  <c r="RV28" i="1" s="1"/>
  <c r="WV28" i="1"/>
  <c r="YF15" i="1"/>
  <c r="YG15" i="1" s="1"/>
  <c r="YO15" i="1"/>
  <c r="YS15" i="1" s="1"/>
  <c r="VY15" i="1"/>
  <c r="VX15" i="1"/>
  <c r="WH15" i="1"/>
  <c r="ACQ52" i="1"/>
  <c r="ACV52" i="1"/>
  <c r="PR42" i="1"/>
  <c r="PX42" i="1" s="1"/>
  <c r="PK42" i="1"/>
  <c r="AAO42" i="1"/>
  <c r="ADD42" i="1"/>
  <c r="ADC42" i="1" s="1"/>
  <c r="YF43" i="1"/>
  <c r="YG43" i="1" s="1"/>
  <c r="VY43" i="1"/>
  <c r="YO43" i="1"/>
  <c r="YS43" i="1" s="1"/>
  <c r="WH43" i="1"/>
  <c r="VX43" i="1"/>
  <c r="ACA28" i="1"/>
  <c r="PS28" i="1"/>
  <c r="UV28" i="1"/>
  <c r="UU28" i="1"/>
  <c r="WB30" i="1"/>
  <c r="YQ30" i="1"/>
  <c r="YT30" i="1" s="1"/>
  <c r="WG30" i="1"/>
  <c r="ACA43" i="1"/>
  <c r="PS43" i="1"/>
  <c r="UV43" i="1"/>
  <c r="PK16" i="1"/>
  <c r="PR16" i="1"/>
  <c r="ADD16" i="1"/>
  <c r="ADC16" i="1" s="1"/>
  <c r="AAO16" i="1"/>
  <c r="ZU36" i="1"/>
  <c r="PQ36" i="1"/>
  <c r="US36" i="1"/>
  <c r="ACA40" i="1"/>
  <c r="PS40" i="1"/>
  <c r="UU40" i="1"/>
  <c r="ACK51" i="1"/>
  <c r="ACD51" i="1"/>
  <c r="AEA60" i="1"/>
  <c r="AED60" i="1" s="1"/>
  <c r="ACO60" i="1"/>
  <c r="ACM60" i="1"/>
  <c r="RM60" i="1"/>
  <c r="ACD60" i="1"/>
  <c r="ACK60" i="1"/>
  <c r="YF27" i="1"/>
  <c r="YG27" i="1" s="1"/>
  <c r="YO27" i="1"/>
  <c r="YS27" i="1" s="1"/>
  <c r="VX27" i="1"/>
  <c r="WH27" i="1"/>
  <c r="VY27" i="1"/>
  <c r="AAE46" i="1"/>
  <c r="AAL46" i="1"/>
  <c r="AAG46" i="1"/>
  <c r="AAC56" i="1"/>
  <c r="ZX56" i="1"/>
  <c r="ADD41" i="1"/>
  <c r="ADC41" i="1" s="1"/>
  <c r="AAO41" i="1"/>
  <c r="PR37" i="1"/>
  <c r="PK37" i="1"/>
  <c r="YQ21" i="1"/>
  <c r="YT21" i="1" s="1"/>
  <c r="WB21" i="1"/>
  <c r="WG21" i="1"/>
  <c r="XQ38" i="1"/>
  <c r="WR38" i="1"/>
  <c r="VZ38" i="1"/>
  <c r="VU38" i="1"/>
  <c r="XN38" i="1"/>
  <c r="WQ38" i="1"/>
  <c r="WS38" i="1" s="1"/>
  <c r="YQ38" i="1"/>
  <c r="YT38" i="1" s="1"/>
  <c r="WB38" i="1"/>
  <c r="WG38" i="1"/>
  <c r="ZV39" i="1"/>
  <c r="QD39" i="1"/>
  <c r="ACB34" i="1"/>
  <c r="QF34" i="1"/>
  <c r="QF33" i="1"/>
  <c r="ACB33" i="1"/>
  <c r="ZV31" i="1"/>
  <c r="QD31" i="1"/>
  <c r="ZV38" i="1"/>
  <c r="ZZ38" i="1" s="1"/>
  <c r="QD38" i="1"/>
  <c r="ACG33" i="1"/>
  <c r="PX27" i="1"/>
  <c r="PV12" i="1"/>
  <c r="PX21" i="1"/>
  <c r="QG45" i="1"/>
  <c r="ZZ31" i="1"/>
  <c r="PX45" i="1"/>
  <c r="ZZ39" i="1"/>
  <c r="PV25" i="1"/>
  <c r="ACG34" i="1"/>
  <c r="QG17" i="1"/>
  <c r="PX29" i="1"/>
  <c r="PX23" i="1"/>
  <c r="PX31" i="1"/>
  <c r="PV35" i="1"/>
  <c r="PX24" i="1"/>
  <c r="QG25" i="1"/>
  <c r="QG37" i="1"/>
  <c r="PX44" i="1"/>
  <c r="PV41" i="1"/>
  <c r="PV17" i="1"/>
  <c r="PX32" i="1"/>
  <c r="RE29" i="1"/>
  <c r="RF29" i="1" s="1"/>
  <c r="RG29" i="1" s="1"/>
  <c r="RE23" i="1"/>
  <c r="RF23" i="1" s="1"/>
  <c r="RG23" i="1" s="1"/>
  <c r="RE43" i="1"/>
  <c r="RF43" i="1" s="1"/>
  <c r="RG43" i="1" s="1"/>
  <c r="RG27" i="1" l="1"/>
  <c r="UT36" i="1"/>
  <c r="US37" i="1"/>
  <c r="UT42" i="1"/>
  <c r="UV13" i="2"/>
  <c r="AAB12" i="2"/>
  <c r="AAA12" i="2"/>
  <c r="QE10" i="2"/>
  <c r="PY10" i="2"/>
  <c r="RH10" i="2"/>
  <c r="RI10" i="2" s="1"/>
  <c r="RL10" i="2" s="1"/>
  <c r="WU10" i="2"/>
  <c r="WI10" i="2"/>
  <c r="RC10" i="2"/>
  <c r="RD10" i="2" s="1"/>
  <c r="QI10" i="2"/>
  <c r="QH10" i="2"/>
  <c r="QJ10" i="2" s="1"/>
  <c r="RV10" i="2" s="1"/>
  <c r="WV10" i="2"/>
  <c r="ADQ14" i="2"/>
  <c r="ADR14" i="2" s="1"/>
  <c r="ACH14" i="2"/>
  <c r="ADY14" i="2"/>
  <c r="AEC14" i="2" s="1"/>
  <c r="ACI14" i="2"/>
  <c r="ACJ14" i="2"/>
  <c r="WB14" i="2"/>
  <c r="YQ14" i="2"/>
  <c r="YT14" i="2" s="1"/>
  <c r="WG14" i="2"/>
  <c r="RG14" i="2"/>
  <c r="YQ13" i="2"/>
  <c r="YT13" i="2" s="1"/>
  <c r="WB13" i="2"/>
  <c r="WG13" i="2"/>
  <c r="XQ13" i="2"/>
  <c r="WR13" i="2"/>
  <c r="VZ13" i="2"/>
  <c r="VU13" i="2"/>
  <c r="XN13" i="2"/>
  <c r="WQ13" i="2"/>
  <c r="WS13" i="2" s="1"/>
  <c r="ACB12" i="2"/>
  <c r="QF12" i="2"/>
  <c r="AAC14" i="2"/>
  <c r="ZX14" i="2"/>
  <c r="QC10" i="2"/>
  <c r="PW10" i="2"/>
  <c r="AAB13" i="2"/>
  <c r="AAA13" i="2"/>
  <c r="QE11" i="2"/>
  <c r="RH11" i="2" s="1"/>
  <c r="RI11" i="2" s="1"/>
  <c r="RL11" i="2" s="1"/>
  <c r="PY11" i="2"/>
  <c r="YF10" i="2"/>
  <c r="YG10" i="2" s="1"/>
  <c r="VY10" i="2"/>
  <c r="VX10" i="2"/>
  <c r="YO10" i="2"/>
  <c r="YS10" i="2" s="1"/>
  <c r="WH10" i="2"/>
  <c r="ACA10" i="2"/>
  <c r="PS10" i="2"/>
  <c r="UU10" i="2"/>
  <c r="UV10" i="2"/>
  <c r="XN14" i="2"/>
  <c r="WQ14" i="2"/>
  <c r="WS14" i="2" s="1"/>
  <c r="XQ14" i="2"/>
  <c r="WR14" i="2"/>
  <c r="VZ14" i="2"/>
  <c r="VU14" i="2"/>
  <c r="QD11" i="2"/>
  <c r="ZV11" i="2"/>
  <c r="ZZ11" i="2" s="1"/>
  <c r="US11" i="2"/>
  <c r="UT11" i="2"/>
  <c r="XQ12" i="2"/>
  <c r="WR12" i="2"/>
  <c r="VZ12" i="2"/>
  <c r="VU12" i="2"/>
  <c r="XN12" i="2"/>
  <c r="WQ12" i="2"/>
  <c r="WS12" i="2" s="1"/>
  <c r="YQ12" i="2"/>
  <c r="YT12" i="2" s="1"/>
  <c r="WB12" i="2"/>
  <c r="WG12" i="2"/>
  <c r="XQ11" i="2"/>
  <c r="WR11" i="2"/>
  <c r="VZ11" i="2"/>
  <c r="VU11" i="2"/>
  <c r="XN11" i="2"/>
  <c r="WQ11" i="2"/>
  <c r="WS11" i="2" s="1"/>
  <c r="YQ11" i="2"/>
  <c r="YT11" i="2" s="1"/>
  <c r="WB11" i="2"/>
  <c r="WG11" i="2"/>
  <c r="AAE14" i="2"/>
  <c r="AAL14" i="2"/>
  <c r="AAG14" i="2"/>
  <c r="QF13" i="2"/>
  <c r="ACB13" i="2"/>
  <c r="ACG13" i="2" s="1"/>
  <c r="ACG12" i="2"/>
  <c r="RH12" i="2"/>
  <c r="RI12" i="2" s="1"/>
  <c r="RL12" i="2" s="1"/>
  <c r="RG13" i="2"/>
  <c r="AAB38" i="1"/>
  <c r="AAA38" i="1"/>
  <c r="QE42" i="1"/>
  <c r="PY42" i="1"/>
  <c r="QE41" i="1"/>
  <c r="RH41" i="1" s="1"/>
  <c r="RI41" i="1" s="1"/>
  <c r="RL41" i="1" s="1"/>
  <c r="PY41" i="1"/>
  <c r="QC17" i="1"/>
  <c r="PW17" i="1"/>
  <c r="QE44" i="1"/>
  <c r="RH44" i="1" s="1"/>
  <c r="RI44" i="1" s="1"/>
  <c r="RL44" i="1" s="1"/>
  <c r="PY44" i="1"/>
  <c r="QH25" i="1"/>
  <c r="QJ25" i="1" s="1"/>
  <c r="RV25" i="1" s="1"/>
  <c r="WU25" i="1"/>
  <c r="WI25" i="1"/>
  <c r="RC25" i="1"/>
  <c r="RD25" i="1" s="1"/>
  <c r="QI25" i="1"/>
  <c r="WV25" i="1"/>
  <c r="QC35" i="1"/>
  <c r="PW35" i="1"/>
  <c r="QE23" i="1"/>
  <c r="PY23" i="1"/>
  <c r="RH23" i="1"/>
  <c r="RI23" i="1" s="1"/>
  <c r="RL23" i="1" s="1"/>
  <c r="RC17" i="1"/>
  <c r="RD17" i="1" s="1"/>
  <c r="QI17" i="1"/>
  <c r="WU17" i="1"/>
  <c r="WI17" i="1"/>
  <c r="QH17" i="1"/>
  <c r="QJ17" i="1" s="1"/>
  <c r="RV17" i="1" s="1"/>
  <c r="WV17" i="1"/>
  <c r="QC25" i="1"/>
  <c r="PW25" i="1"/>
  <c r="AAB39" i="1"/>
  <c r="AAA39" i="1"/>
  <c r="AAB23" i="1"/>
  <c r="AAA23" i="1"/>
  <c r="WU45" i="1"/>
  <c r="WI45" i="1"/>
  <c r="QH45" i="1"/>
  <c r="QJ45" i="1" s="1"/>
  <c r="RV45" i="1" s="1"/>
  <c r="RC45" i="1"/>
  <c r="RD45" i="1" s="1"/>
  <c r="QI45" i="1"/>
  <c r="WV45" i="1"/>
  <c r="QE27" i="1"/>
  <c r="RH27" i="1" s="1"/>
  <c r="RI27" i="1" s="1"/>
  <c r="RL27" i="1" s="1"/>
  <c r="PY27" i="1"/>
  <c r="ACA37" i="1"/>
  <c r="PS37" i="1"/>
  <c r="XQ27" i="1"/>
  <c r="WR27" i="1"/>
  <c r="VZ27" i="1"/>
  <c r="VU27" i="1"/>
  <c r="XN27" i="1"/>
  <c r="WQ27" i="1"/>
  <c r="WS27" i="1" s="1"/>
  <c r="YQ27" i="1"/>
  <c r="YT27" i="1" s="1"/>
  <c r="WG27" i="1"/>
  <c r="WB27" i="1"/>
  <c r="PS16" i="1"/>
  <c r="ACA16" i="1"/>
  <c r="WB43" i="1"/>
  <c r="YQ43" i="1"/>
  <c r="YT43" i="1" s="1"/>
  <c r="WG43" i="1"/>
  <c r="WB15" i="1"/>
  <c r="YQ15" i="1"/>
  <c r="YT15" i="1" s="1"/>
  <c r="WG15" i="1"/>
  <c r="YF17" i="1"/>
  <c r="YG17" i="1" s="1"/>
  <c r="VX17" i="1"/>
  <c r="YO17" i="1"/>
  <c r="YS17" i="1" s="1"/>
  <c r="VY17" i="1"/>
  <c r="WH17" i="1"/>
  <c r="QE36" i="1"/>
  <c r="UV36" i="1" s="1"/>
  <c r="PY36" i="1"/>
  <c r="RH36" i="1"/>
  <c r="RI36" i="1" s="1"/>
  <c r="RL36" i="1" s="1"/>
  <c r="WB33" i="1"/>
  <c r="YQ33" i="1"/>
  <c r="YT33" i="1" s="1"/>
  <c r="WG33" i="1"/>
  <c r="QD21" i="1"/>
  <c r="ZV21" i="1"/>
  <c r="ZZ21" i="1" s="1"/>
  <c r="US21" i="1"/>
  <c r="UT21" i="1"/>
  <c r="ACB10" i="1"/>
  <c r="ACG10" i="1" s="1"/>
  <c r="QF10" i="1"/>
  <c r="UV10" i="1"/>
  <c r="UU10" i="1"/>
  <c r="ZV45" i="1"/>
  <c r="ZZ45" i="1" s="1"/>
  <c r="QD45" i="1"/>
  <c r="UT45" i="1"/>
  <c r="US45" i="1"/>
  <c r="ZV26" i="1"/>
  <c r="ZZ26" i="1" s="1"/>
  <c r="QD26" i="1"/>
  <c r="UT26" i="1"/>
  <c r="US26" i="1"/>
  <c r="RC16" i="1"/>
  <c r="RD16" i="1" s="1"/>
  <c r="QI16" i="1"/>
  <c r="WU16" i="1"/>
  <c r="WI16" i="1"/>
  <c r="QH16" i="1"/>
  <c r="QJ16" i="1" s="1"/>
  <c r="RV16" i="1" s="1"/>
  <c r="WV16" i="1"/>
  <c r="AAB29" i="1"/>
  <c r="AAA29" i="1"/>
  <c r="AAB33" i="1"/>
  <c r="AAA33" i="1"/>
  <c r="ACA25" i="1"/>
  <c r="PS25" i="1"/>
  <c r="XN28" i="1"/>
  <c r="WQ28" i="1"/>
  <c r="WS28" i="1" s="1"/>
  <c r="XQ28" i="1"/>
  <c r="WR28" i="1"/>
  <c r="VZ28" i="1"/>
  <c r="VU28" i="1"/>
  <c r="YF25" i="1"/>
  <c r="YG25" i="1" s="1"/>
  <c r="YO25" i="1"/>
  <c r="YS25" i="1" s="1"/>
  <c r="VY25" i="1"/>
  <c r="WH25" i="1"/>
  <c r="VX25" i="1"/>
  <c r="ACQ51" i="1"/>
  <c r="ACV51" i="1"/>
  <c r="PS35" i="1"/>
  <c r="ACA35" i="1"/>
  <c r="XN39" i="1"/>
  <c r="WQ39" i="1"/>
  <c r="WS39" i="1" s="1"/>
  <c r="XQ39" i="1"/>
  <c r="WR39" i="1"/>
  <c r="VZ39" i="1"/>
  <c r="VU39" i="1"/>
  <c r="AAE30" i="1"/>
  <c r="AAL30" i="1"/>
  <c r="AAG30" i="1"/>
  <c r="AAL34" i="1"/>
  <c r="AAG34" i="1"/>
  <c r="AAE34" i="1"/>
  <c r="YF35" i="1"/>
  <c r="YG35" i="1" s="1"/>
  <c r="YO35" i="1"/>
  <c r="YS35" i="1" s="1"/>
  <c r="VY35" i="1"/>
  <c r="WH35" i="1"/>
  <c r="VX35" i="1"/>
  <c r="YF16" i="1"/>
  <c r="YG16" i="1" s="1"/>
  <c r="YO16" i="1"/>
  <c r="YS16" i="1" s="1"/>
  <c r="VY16" i="1"/>
  <c r="WH16" i="1"/>
  <c r="VX16" i="1"/>
  <c r="RG16" i="1" s="1"/>
  <c r="ACV49" i="1"/>
  <c r="ACQ49" i="1"/>
  <c r="XN44" i="1"/>
  <c r="WQ44" i="1"/>
  <c r="WS44" i="1" s="1"/>
  <c r="XQ44" i="1"/>
  <c r="WR44" i="1"/>
  <c r="VZ44" i="1"/>
  <c r="VU44" i="1"/>
  <c r="ACQ47" i="1"/>
  <c r="ACV47" i="1"/>
  <c r="ACB38" i="1"/>
  <c r="QF38" i="1"/>
  <c r="ACA12" i="1"/>
  <c r="PS12" i="1"/>
  <c r="QD24" i="1"/>
  <c r="ZV24" i="1"/>
  <c r="ZZ24" i="1" s="1"/>
  <c r="UT24" i="1"/>
  <c r="US24" i="1"/>
  <c r="XN12" i="1"/>
  <c r="WQ12" i="1"/>
  <c r="WS12" i="1" s="1"/>
  <c r="XQ12" i="1"/>
  <c r="WR12" i="1"/>
  <c r="VZ12" i="1"/>
  <c r="VU12" i="1"/>
  <c r="XQ36" i="1"/>
  <c r="WR36" i="1"/>
  <c r="VZ36" i="1"/>
  <c r="VU36" i="1"/>
  <c r="XN36" i="1"/>
  <c r="WQ36" i="1"/>
  <c r="WS36" i="1" s="1"/>
  <c r="YQ36" i="1"/>
  <c r="YT36" i="1" s="1"/>
  <c r="WB36" i="1"/>
  <c r="WG36" i="1"/>
  <c r="ZV15" i="1"/>
  <c r="ZZ15" i="1" s="1"/>
  <c r="QD15" i="1"/>
  <c r="UT15" i="1"/>
  <c r="US15" i="1"/>
  <c r="ZV44" i="1"/>
  <c r="ZZ44" i="1" s="1"/>
  <c r="QD44" i="1"/>
  <c r="UT44" i="1"/>
  <c r="US44" i="1"/>
  <c r="ACB43" i="1"/>
  <c r="QF43" i="1"/>
  <c r="QF39" i="1"/>
  <c r="ACB39" i="1"/>
  <c r="ACB15" i="1"/>
  <c r="QF15" i="1"/>
  <c r="AAC10" i="1"/>
  <c r="ZX10" i="1"/>
  <c r="ACB40" i="1"/>
  <c r="QF40" i="1"/>
  <c r="ACG40" i="1"/>
  <c r="PX16" i="1"/>
  <c r="ACG43" i="1"/>
  <c r="ACG38" i="1"/>
  <c r="QE32" i="1"/>
  <c r="PY32" i="1"/>
  <c r="RH32" i="1"/>
  <c r="RI32" i="1" s="1"/>
  <c r="RL32" i="1" s="1"/>
  <c r="QC41" i="1"/>
  <c r="PW41" i="1"/>
  <c r="WU37" i="1"/>
  <c r="WI37" i="1"/>
  <c r="QH37" i="1"/>
  <c r="QJ37" i="1" s="1"/>
  <c r="RV37" i="1" s="1"/>
  <c r="RC37" i="1"/>
  <c r="RD37" i="1" s="1"/>
  <c r="QI37" i="1"/>
  <c r="WV37" i="1"/>
  <c r="QE24" i="1"/>
  <c r="RH24" i="1" s="1"/>
  <c r="RI24" i="1" s="1"/>
  <c r="RL24" i="1" s="1"/>
  <c r="PY24" i="1"/>
  <c r="QE31" i="1"/>
  <c r="PY31" i="1"/>
  <c r="RH31" i="1"/>
  <c r="RI31" i="1" s="1"/>
  <c r="RL31" i="1" s="1"/>
  <c r="QE29" i="1"/>
  <c r="PY29" i="1"/>
  <c r="RH29" i="1"/>
  <c r="RI29" i="1" s="1"/>
  <c r="RL29" i="1" s="1"/>
  <c r="ADQ34" i="1"/>
  <c r="ADR34" i="1" s="1"/>
  <c r="ACH34" i="1"/>
  <c r="ADY34" i="1"/>
  <c r="AEC34" i="1" s="1"/>
  <c r="ACI34" i="1"/>
  <c r="ACJ34" i="1"/>
  <c r="QE45" i="1"/>
  <c r="RH45" i="1" s="1"/>
  <c r="RI45" i="1" s="1"/>
  <c r="RL45" i="1" s="1"/>
  <c r="PY45" i="1"/>
  <c r="AAB31" i="1"/>
  <c r="AAA31" i="1"/>
  <c r="QE21" i="1"/>
  <c r="PY21" i="1"/>
  <c r="RH21" i="1"/>
  <c r="RI21" i="1" s="1"/>
  <c r="RL21" i="1" s="1"/>
  <c r="QC12" i="1"/>
  <c r="RE12" i="1" s="1"/>
  <c r="RF12" i="1" s="1"/>
  <c r="RG12" i="1" s="1"/>
  <c r="PW12" i="1"/>
  <c r="ADQ33" i="1"/>
  <c r="ADR33" i="1" s="1"/>
  <c r="ACH33" i="1"/>
  <c r="ADY33" i="1"/>
  <c r="AEC33" i="1" s="1"/>
  <c r="ACI33" i="1"/>
  <c r="ACJ33" i="1"/>
  <c r="ACV60" i="1"/>
  <c r="ACQ60" i="1"/>
  <c r="XN43" i="1"/>
  <c r="WQ43" i="1"/>
  <c r="WS43" i="1" s="1"/>
  <c r="XQ43" i="1"/>
  <c r="WR43" i="1"/>
  <c r="VZ43" i="1"/>
  <c r="VU43" i="1"/>
  <c r="ACA42" i="1"/>
  <c r="PS42" i="1"/>
  <c r="UU42" i="1"/>
  <c r="UV42" i="1"/>
  <c r="XN15" i="1"/>
  <c r="WQ15" i="1"/>
  <c r="WS15" i="1" s="1"/>
  <c r="WR15" i="1"/>
  <c r="XQ15" i="1"/>
  <c r="VZ15" i="1"/>
  <c r="VU15" i="1"/>
  <c r="PS17" i="1"/>
  <c r="ACA17" i="1"/>
  <c r="YF41" i="1"/>
  <c r="YG41" i="1" s="1"/>
  <c r="VY41" i="1"/>
  <c r="YO41" i="1"/>
  <c r="YS41" i="1" s="1"/>
  <c r="WH41" i="1"/>
  <c r="VX41" i="1"/>
  <c r="YF42" i="1"/>
  <c r="YG42" i="1" s="1"/>
  <c r="VY42" i="1"/>
  <c r="YO42" i="1"/>
  <c r="YS42" i="1" s="1"/>
  <c r="WH42" i="1"/>
  <c r="VX42" i="1"/>
  <c r="RG42" i="1" s="1"/>
  <c r="PS36" i="1"/>
  <c r="ACA36" i="1"/>
  <c r="UU36" i="1"/>
  <c r="XN33" i="1"/>
  <c r="WQ33" i="1"/>
  <c r="WS33" i="1" s="1"/>
  <c r="XQ33" i="1"/>
  <c r="WR33" i="1"/>
  <c r="VZ33" i="1"/>
  <c r="VU33" i="1"/>
  <c r="QF30" i="1"/>
  <c r="ACB30" i="1"/>
  <c r="ACG30" i="1" s="1"/>
  <c r="UV30" i="1"/>
  <c r="UU30" i="1"/>
  <c r="ZV32" i="1"/>
  <c r="ZZ32" i="1" s="1"/>
  <c r="QD32" i="1"/>
  <c r="UT32" i="1"/>
  <c r="US32" i="1"/>
  <c r="RC35" i="1"/>
  <c r="RD35" i="1" s="1"/>
  <c r="QI35" i="1"/>
  <c r="WU35" i="1"/>
  <c r="WI35" i="1"/>
  <c r="QH35" i="1"/>
  <c r="QJ35" i="1" s="1"/>
  <c r="RV35" i="1" s="1"/>
  <c r="WV35" i="1"/>
  <c r="AAB43" i="1"/>
  <c r="AAA43" i="1"/>
  <c r="XQ40" i="1"/>
  <c r="WR40" i="1"/>
  <c r="VZ40" i="1"/>
  <c r="VU40" i="1"/>
  <c r="XN40" i="1"/>
  <c r="WQ40" i="1"/>
  <c r="WS40" i="1" s="1"/>
  <c r="YQ40" i="1"/>
  <c r="YT40" i="1" s="1"/>
  <c r="WB40" i="1"/>
  <c r="WG40" i="1"/>
  <c r="ACA41" i="1"/>
  <c r="PS41" i="1"/>
  <c r="UV41" i="1"/>
  <c r="UU41" i="1"/>
  <c r="WB28" i="1"/>
  <c r="YQ28" i="1"/>
  <c r="YT28" i="1" s="1"/>
  <c r="WG28" i="1"/>
  <c r="YF37" i="1"/>
  <c r="YG37" i="1" s="1"/>
  <c r="VY37" i="1"/>
  <c r="YO37" i="1"/>
  <c r="YS37" i="1" s="1"/>
  <c r="WH37" i="1"/>
  <c r="VX37" i="1"/>
  <c r="WB39" i="1"/>
  <c r="YQ39" i="1"/>
  <c r="YT39" i="1" s="1"/>
  <c r="WG39" i="1"/>
  <c r="YQ24" i="1"/>
  <c r="YT24" i="1" s="1"/>
  <c r="WB24" i="1"/>
  <c r="WG24" i="1"/>
  <c r="XQ24" i="1"/>
  <c r="WR24" i="1"/>
  <c r="VZ24" i="1"/>
  <c r="VU24" i="1"/>
  <c r="XN24" i="1"/>
  <c r="WQ24" i="1"/>
  <c r="WS24" i="1" s="1"/>
  <c r="AAC30" i="1"/>
  <c r="ZX30" i="1"/>
  <c r="AAC34" i="1"/>
  <c r="ZX34" i="1"/>
  <c r="ACQ56" i="1"/>
  <c r="ACV56" i="1"/>
  <c r="WB44" i="1"/>
  <c r="YQ44" i="1"/>
  <c r="YT44" i="1" s="1"/>
  <c r="WG44" i="1"/>
  <c r="AEA54" i="1"/>
  <c r="AED54" i="1" s="1"/>
  <c r="ACO54" i="1"/>
  <c r="ACM54" i="1"/>
  <c r="RM54" i="1"/>
  <c r="ACD54" i="1"/>
  <c r="ACK54" i="1"/>
  <c r="YF45" i="1"/>
  <c r="YG45" i="1" s="1"/>
  <c r="VY45" i="1"/>
  <c r="YO45" i="1"/>
  <c r="YS45" i="1" s="1"/>
  <c r="WH45" i="1"/>
  <c r="VX45" i="1"/>
  <c r="ACQ46" i="1"/>
  <c r="ACV46" i="1"/>
  <c r="QD40" i="1"/>
  <c r="ZV40" i="1"/>
  <c r="ZZ40" i="1" s="1"/>
  <c r="US40" i="1"/>
  <c r="UT40" i="1"/>
  <c r="WB12" i="1"/>
  <c r="YQ12" i="1"/>
  <c r="YT12" i="1" s="1"/>
  <c r="WG12" i="1"/>
  <c r="QD27" i="1"/>
  <c r="ZV27" i="1"/>
  <c r="ZZ27" i="1" s="1"/>
  <c r="US27" i="1"/>
  <c r="UT27" i="1"/>
  <c r="ZV28" i="1"/>
  <c r="ZZ28" i="1" s="1"/>
  <c r="QD28" i="1"/>
  <c r="UT28" i="1"/>
  <c r="US28" i="1"/>
  <c r="ZV37" i="1"/>
  <c r="QD37" i="1"/>
  <c r="ACB26" i="1"/>
  <c r="ACG26" i="1" s="1"/>
  <c r="QF26" i="1"/>
  <c r="ZV42" i="1"/>
  <c r="ZZ42" i="1" s="1"/>
  <c r="QD42" i="1"/>
  <c r="AAE10" i="1"/>
  <c r="AAL10" i="1"/>
  <c r="AAG10" i="1"/>
  <c r="ZV36" i="1"/>
  <c r="ZZ36" i="1" s="1"/>
  <c r="QD36" i="1"/>
  <c r="ACB28" i="1"/>
  <c r="QF28" i="1"/>
  <c r="ZV16" i="1"/>
  <c r="ZZ16" i="1" s="1"/>
  <c r="QD16" i="1"/>
  <c r="PX37" i="1"/>
  <c r="ACG28" i="1"/>
  <c r="PX17" i="1"/>
  <c r="ZZ37" i="1"/>
  <c r="ACG39" i="1"/>
  <c r="ACG15" i="1"/>
  <c r="RE21" i="1"/>
  <c r="RF21" i="1" s="1"/>
  <c r="RG21" i="1" s="1"/>
  <c r="RE45" i="1"/>
  <c r="RF45" i="1" s="1"/>
  <c r="RG45" i="1" s="1"/>
  <c r="RE26" i="1"/>
  <c r="RF26" i="1" s="1"/>
  <c r="RG26" i="1" s="1"/>
  <c r="PX25" i="1"/>
  <c r="PX35" i="1"/>
  <c r="PX12" i="1"/>
  <c r="RE24" i="1"/>
  <c r="RF24" i="1" s="1"/>
  <c r="RG24" i="1" s="1"/>
  <c r="RE15" i="1"/>
  <c r="RF15" i="1" s="1"/>
  <c r="RG15" i="1" s="1"/>
  <c r="RE44" i="1"/>
  <c r="RF44" i="1" s="1"/>
  <c r="RG44" i="1" s="1"/>
  <c r="RH43" i="1"/>
  <c r="RI43" i="1" s="1"/>
  <c r="RL43" i="1" s="1"/>
  <c r="RH39" i="1"/>
  <c r="RI39" i="1" s="1"/>
  <c r="RL39" i="1" s="1"/>
  <c r="RH40" i="1"/>
  <c r="RI40" i="1" s="1"/>
  <c r="RL40" i="1" s="1"/>
  <c r="ADQ13" i="2" l="1"/>
  <c r="ADR13" i="2" s="1"/>
  <c r="ACH13" i="2"/>
  <c r="ACI13" i="2"/>
  <c r="ADY13" i="2"/>
  <c r="AEC13" i="2" s="1"/>
  <c r="ACJ13" i="2"/>
  <c r="XN10" i="2"/>
  <c r="WQ10" i="2"/>
  <c r="WS10" i="2" s="1"/>
  <c r="XQ10" i="2"/>
  <c r="WR10" i="2"/>
  <c r="VZ10" i="2"/>
  <c r="VU10" i="2"/>
  <c r="AAC13" i="2"/>
  <c r="ZX13" i="2"/>
  <c r="ZV10" i="2"/>
  <c r="ZZ10" i="2" s="1"/>
  <c r="QD10" i="2"/>
  <c r="UT10" i="2"/>
  <c r="US10" i="2"/>
  <c r="AEA14" i="2"/>
  <c r="AED14" i="2" s="1"/>
  <c r="ACO14" i="2"/>
  <c r="ACM14" i="2"/>
  <c r="RM14" i="2"/>
  <c r="ACB10" i="2"/>
  <c r="QF10" i="2"/>
  <c r="AAC12" i="2"/>
  <c r="ZX12" i="2"/>
  <c r="ACG10" i="2"/>
  <c r="ADQ12" i="2"/>
  <c r="ADR12" i="2" s="1"/>
  <c r="ACH12" i="2"/>
  <c r="ACJ12" i="2"/>
  <c r="ADY12" i="2"/>
  <c r="AEC12" i="2" s="1"/>
  <c r="ACI12" i="2"/>
  <c r="AAB11" i="2"/>
  <c r="AAA11" i="2"/>
  <c r="WB10" i="2"/>
  <c r="YQ10" i="2"/>
  <c r="YT10" i="2" s="1"/>
  <c r="WG10" i="2"/>
  <c r="ACB11" i="2"/>
  <c r="ACG11" i="2" s="1"/>
  <c r="QF11" i="2"/>
  <c r="UU11" i="2"/>
  <c r="UV11" i="2"/>
  <c r="AAL13" i="2"/>
  <c r="AAG13" i="2"/>
  <c r="AAE13" i="2"/>
  <c r="ACD14" i="2"/>
  <c r="ACK14" i="2"/>
  <c r="AAL12" i="2"/>
  <c r="AAG12" i="2"/>
  <c r="AAE12" i="2"/>
  <c r="RE10" i="2"/>
  <c r="RF10" i="2" s="1"/>
  <c r="RG10" i="2" s="1"/>
  <c r="AAB16" i="1"/>
  <c r="AAA16" i="1"/>
  <c r="AAB36" i="1"/>
  <c r="AAA36" i="1"/>
  <c r="AAB42" i="1"/>
  <c r="AAA42" i="1"/>
  <c r="ADQ26" i="1"/>
  <c r="ADR26" i="1" s="1"/>
  <c r="ACH26" i="1"/>
  <c r="ADY26" i="1"/>
  <c r="AEC26" i="1" s="1"/>
  <c r="ACI26" i="1"/>
  <c r="ACJ26" i="1"/>
  <c r="QE25" i="1"/>
  <c r="PY25" i="1"/>
  <c r="ADQ39" i="1"/>
  <c r="ADR39" i="1" s="1"/>
  <c r="ACH39" i="1"/>
  <c r="ACJ39" i="1"/>
  <c r="ADY39" i="1"/>
  <c r="AEC39" i="1" s="1"/>
  <c r="ACI39" i="1"/>
  <c r="QE17" i="1"/>
  <c r="PY17" i="1"/>
  <c r="RH17" i="1"/>
  <c r="RI17" i="1" s="1"/>
  <c r="RL17" i="1" s="1"/>
  <c r="AAB28" i="1"/>
  <c r="AAA28" i="1"/>
  <c r="AAB40" i="1"/>
  <c r="AAA40" i="1"/>
  <c r="WB45" i="1"/>
  <c r="YQ45" i="1"/>
  <c r="YT45" i="1" s="1"/>
  <c r="WG45" i="1"/>
  <c r="WB37" i="1"/>
  <c r="YQ37" i="1"/>
  <c r="YT37" i="1" s="1"/>
  <c r="WG37" i="1"/>
  <c r="AAC43" i="1"/>
  <c r="ZX43" i="1"/>
  <c r="AAB32" i="1"/>
  <c r="AAA32" i="1"/>
  <c r="XN42" i="1"/>
  <c r="WQ42" i="1"/>
  <c r="WS42" i="1" s="1"/>
  <c r="XQ42" i="1"/>
  <c r="WR42" i="1"/>
  <c r="VZ42" i="1"/>
  <c r="VU42" i="1"/>
  <c r="WB41" i="1"/>
  <c r="YQ41" i="1"/>
  <c r="YT41" i="1" s="1"/>
  <c r="WG41" i="1"/>
  <c r="AEA33" i="1"/>
  <c r="AED33" i="1" s="1"/>
  <c r="ACO33" i="1"/>
  <c r="ACM33" i="1"/>
  <c r="RM33" i="1"/>
  <c r="AAL31" i="1"/>
  <c r="AAG31" i="1"/>
  <c r="AAE31" i="1"/>
  <c r="RM34" i="1"/>
  <c r="AEA34" i="1"/>
  <c r="AED34" i="1" s="1"/>
  <c r="ACO34" i="1"/>
  <c r="ACM34" i="1"/>
  <c r="ACB29" i="1"/>
  <c r="ACG29" i="1" s="1"/>
  <c r="QF29" i="1"/>
  <c r="UU29" i="1"/>
  <c r="UV29" i="1"/>
  <c r="ZV41" i="1"/>
  <c r="ZZ41" i="1" s="1"/>
  <c r="QD41" i="1"/>
  <c r="US41" i="1"/>
  <c r="UT41" i="1"/>
  <c r="ACB32" i="1"/>
  <c r="ACG32" i="1" s="1"/>
  <c r="QF32" i="1"/>
  <c r="UU32" i="1"/>
  <c r="UV32" i="1"/>
  <c r="QE16" i="1"/>
  <c r="PY16" i="1"/>
  <c r="RH16" i="1"/>
  <c r="RI16" i="1" s="1"/>
  <c r="RL16" i="1" s="1"/>
  <c r="ADQ40" i="1"/>
  <c r="ADR40" i="1" s="1"/>
  <c r="ACH40" i="1"/>
  <c r="ADY40" i="1"/>
  <c r="AEC40" i="1" s="1"/>
  <c r="ACI40" i="1"/>
  <c r="ACJ40" i="1"/>
  <c r="YQ35" i="1"/>
  <c r="YT35" i="1" s="1"/>
  <c r="WB35" i="1"/>
  <c r="WG35" i="1"/>
  <c r="XQ35" i="1"/>
  <c r="WR35" i="1"/>
  <c r="VZ35" i="1"/>
  <c r="VU35" i="1"/>
  <c r="XN35" i="1"/>
  <c r="WQ35" i="1"/>
  <c r="WS35" i="1" s="1"/>
  <c r="AAE33" i="1"/>
  <c r="AAL33" i="1"/>
  <c r="AAG33" i="1"/>
  <c r="AAL29" i="1"/>
  <c r="AAG29" i="1"/>
  <c r="AAE29" i="1"/>
  <c r="AAB21" i="1"/>
  <c r="AAA21" i="1"/>
  <c r="AAC23" i="1"/>
  <c r="ZX23" i="1"/>
  <c r="AAC39" i="1"/>
  <c r="ZX39" i="1"/>
  <c r="QD25" i="1"/>
  <c r="ZV25" i="1"/>
  <c r="ZZ25" i="1" s="1"/>
  <c r="UT25" i="1"/>
  <c r="US25" i="1"/>
  <c r="ACB23" i="1"/>
  <c r="ACG23" i="1" s="1"/>
  <c r="QF23" i="1"/>
  <c r="UV23" i="1"/>
  <c r="UU23" i="1"/>
  <c r="ZV35" i="1"/>
  <c r="ZZ35" i="1" s="1"/>
  <c r="QD35" i="1"/>
  <c r="US35" i="1"/>
  <c r="UT35" i="1"/>
  <c r="ZV17" i="1"/>
  <c r="ZZ17" i="1" s="1"/>
  <c r="QD17" i="1"/>
  <c r="UT17" i="1"/>
  <c r="US17" i="1"/>
  <c r="QF42" i="1"/>
  <c r="ACB42" i="1"/>
  <c r="AAL38" i="1"/>
  <c r="AAG38" i="1"/>
  <c r="AAE38" i="1"/>
  <c r="ACG42" i="1"/>
  <c r="QE12" i="1"/>
  <c r="PY12" i="1"/>
  <c r="RH12" i="1"/>
  <c r="RI12" i="1" s="1"/>
  <c r="RL12" i="1" s="1"/>
  <c r="QE35" i="1"/>
  <c r="PY35" i="1"/>
  <c r="RH35" i="1"/>
  <c r="RI35" i="1" s="1"/>
  <c r="RL35" i="1" s="1"/>
  <c r="ACH15" i="1"/>
  <c r="ADQ15" i="1"/>
  <c r="ADR15" i="1" s="1"/>
  <c r="ACJ15" i="1"/>
  <c r="ADY15" i="1"/>
  <c r="AEC15" i="1" s="1"/>
  <c r="ACI15" i="1"/>
  <c r="AAB37" i="1"/>
  <c r="AAA37" i="1"/>
  <c r="ADQ28" i="1"/>
  <c r="ADR28" i="1" s="1"/>
  <c r="ACH28" i="1"/>
  <c r="ADY28" i="1"/>
  <c r="AEC28" i="1" s="1"/>
  <c r="ACI28" i="1"/>
  <c r="ACJ28" i="1"/>
  <c r="QE37" i="1"/>
  <c r="RH37" i="1" s="1"/>
  <c r="RI37" i="1" s="1"/>
  <c r="RL37" i="1" s="1"/>
  <c r="PY37" i="1"/>
  <c r="AAB27" i="1"/>
  <c r="AAA27" i="1"/>
  <c r="XN45" i="1"/>
  <c r="WQ45" i="1"/>
  <c r="WS45" i="1" s="1"/>
  <c r="XQ45" i="1"/>
  <c r="WR45" i="1"/>
  <c r="VZ45" i="1"/>
  <c r="VU45" i="1"/>
  <c r="ACQ54" i="1"/>
  <c r="ACV54" i="1"/>
  <c r="XN37" i="1"/>
  <c r="WQ37" i="1"/>
  <c r="WS37" i="1" s="1"/>
  <c r="XQ37" i="1"/>
  <c r="WR37" i="1"/>
  <c r="VZ37" i="1"/>
  <c r="VU37" i="1"/>
  <c r="AAE43" i="1"/>
  <c r="AAL43" i="1"/>
  <c r="AAG43" i="1"/>
  <c r="ADQ30" i="1"/>
  <c r="ADR30" i="1" s="1"/>
  <c r="ACH30" i="1"/>
  <c r="ACJ30" i="1"/>
  <c r="ADY30" i="1"/>
  <c r="AEC30" i="1" s="1"/>
  <c r="ACI30" i="1"/>
  <c r="WB42" i="1"/>
  <c r="YQ42" i="1"/>
  <c r="YT42" i="1" s="1"/>
  <c r="WG42" i="1"/>
  <c r="XN41" i="1"/>
  <c r="WQ41" i="1"/>
  <c r="WS41" i="1" s="1"/>
  <c r="XQ41" i="1"/>
  <c r="WR41" i="1"/>
  <c r="VZ41" i="1"/>
  <c r="VU41" i="1"/>
  <c r="ACD33" i="1"/>
  <c r="ACK33" i="1"/>
  <c r="ZV12" i="1"/>
  <c r="ZZ12" i="1" s="1"/>
  <c r="QD12" i="1"/>
  <c r="UT12" i="1"/>
  <c r="US12" i="1"/>
  <c r="ACB21" i="1"/>
  <c r="ACG21" i="1" s="1"/>
  <c r="QF21" i="1"/>
  <c r="UU21" i="1"/>
  <c r="UV21" i="1"/>
  <c r="AAC31" i="1"/>
  <c r="ZX31" i="1"/>
  <c r="ACB45" i="1"/>
  <c r="ACG45" i="1" s="1"/>
  <c r="QF45" i="1"/>
  <c r="UV45" i="1"/>
  <c r="UU45" i="1"/>
  <c r="ACK34" i="1"/>
  <c r="ACD34" i="1"/>
  <c r="ACB31" i="1"/>
  <c r="ACG31" i="1" s="1"/>
  <c r="QF31" i="1"/>
  <c r="UU31" i="1"/>
  <c r="UV31" i="1"/>
  <c r="ACB24" i="1"/>
  <c r="ACG24" i="1" s="1"/>
  <c r="QF24" i="1"/>
  <c r="UU24" i="1"/>
  <c r="UV24" i="1"/>
  <c r="ADQ38" i="1"/>
  <c r="ADR38" i="1" s="1"/>
  <c r="ACH38" i="1"/>
  <c r="ADY38" i="1"/>
  <c r="AEC38" i="1" s="1"/>
  <c r="ACI38" i="1"/>
  <c r="ACJ38" i="1"/>
  <c r="ADQ43" i="1"/>
  <c r="ADR43" i="1" s="1"/>
  <c r="ACH43" i="1"/>
  <c r="ACI43" i="1"/>
  <c r="ADY43" i="1"/>
  <c r="AEC43" i="1" s="1"/>
  <c r="ACJ43" i="1"/>
  <c r="AAB44" i="1"/>
  <c r="AAA44" i="1"/>
  <c r="AAB15" i="1"/>
  <c r="AAA15" i="1"/>
  <c r="AAB24" i="1"/>
  <c r="AAA24" i="1"/>
  <c r="YQ16" i="1"/>
  <c r="YT16" i="1" s="1"/>
  <c r="WB16" i="1"/>
  <c r="WG16" i="1"/>
  <c r="XQ16" i="1"/>
  <c r="WR16" i="1"/>
  <c r="VZ16" i="1"/>
  <c r="VU16" i="1"/>
  <c r="WQ16" i="1"/>
  <c r="WS16" i="1" s="1"/>
  <c r="XN16" i="1"/>
  <c r="YQ25" i="1"/>
  <c r="YT25" i="1" s="1"/>
  <c r="WB25" i="1"/>
  <c r="WG25" i="1"/>
  <c r="XQ25" i="1"/>
  <c r="WR25" i="1"/>
  <c r="VZ25" i="1"/>
  <c r="VU25" i="1"/>
  <c r="XN25" i="1"/>
  <c r="WQ25" i="1"/>
  <c r="WS25" i="1" s="1"/>
  <c r="AAC33" i="1"/>
  <c r="ZX33" i="1"/>
  <c r="AAC29" i="1"/>
  <c r="ZX29" i="1"/>
  <c r="AAB26" i="1"/>
  <c r="AAA26" i="1"/>
  <c r="AAB45" i="1"/>
  <c r="AAA45" i="1"/>
  <c r="ADQ10" i="1"/>
  <c r="ADR10" i="1" s="1"/>
  <c r="ACH10" i="1"/>
  <c r="ACJ10" i="1"/>
  <c r="ADY10" i="1"/>
  <c r="AEC10" i="1" s="1"/>
  <c r="ACI10" i="1"/>
  <c r="ACB36" i="1"/>
  <c r="QF36" i="1"/>
  <c r="XQ17" i="1"/>
  <c r="WR17" i="1"/>
  <c r="VZ17" i="1"/>
  <c r="VU17" i="1"/>
  <c r="WQ17" i="1"/>
  <c r="WS17" i="1" s="1"/>
  <c r="XN17" i="1"/>
  <c r="YQ17" i="1"/>
  <c r="YT17" i="1" s="1"/>
  <c r="WB17" i="1"/>
  <c r="WG17" i="1"/>
  <c r="ACB27" i="1"/>
  <c r="ACG27" i="1" s="1"/>
  <c r="QF27" i="1"/>
  <c r="UV27" i="1"/>
  <c r="UU27" i="1"/>
  <c r="AAL23" i="1"/>
  <c r="AAG23" i="1"/>
  <c r="AAE23" i="1"/>
  <c r="AAE39" i="1"/>
  <c r="AAL39" i="1"/>
  <c r="AAG39" i="1"/>
  <c r="ACB44" i="1"/>
  <c r="ACG44" i="1" s="1"/>
  <c r="QF44" i="1"/>
  <c r="UU44" i="1"/>
  <c r="UV44" i="1"/>
  <c r="QF41" i="1"/>
  <c r="ACB41" i="1"/>
  <c r="AAC38" i="1"/>
  <c r="ZX38" i="1"/>
  <c r="ACG41" i="1"/>
  <c r="ACG36" i="1"/>
  <c r="RE41" i="1"/>
  <c r="RF41" i="1" s="1"/>
  <c r="RG41" i="1" s="1"/>
  <c r="RE25" i="1"/>
  <c r="RF25" i="1" s="1"/>
  <c r="RG25" i="1" s="1"/>
  <c r="RE35" i="1"/>
  <c r="RF35" i="1" s="1"/>
  <c r="RG35" i="1" s="1"/>
  <c r="RE17" i="1"/>
  <c r="RF17" i="1" s="1"/>
  <c r="RG17" i="1" s="1"/>
  <c r="RG37" i="1"/>
  <c r="RH42" i="1"/>
  <c r="RI42" i="1" s="1"/>
  <c r="RL42" i="1" s="1"/>
  <c r="ADQ11" i="2" l="1"/>
  <c r="ADR11" i="2" s="1"/>
  <c r="ACH11" i="2"/>
  <c r="ADY11" i="2"/>
  <c r="AEC11" i="2" s="1"/>
  <c r="ACI11" i="2"/>
  <c r="ACJ11" i="2"/>
  <c r="AAL11" i="2"/>
  <c r="AAG11" i="2"/>
  <c r="AAE11" i="2"/>
  <c r="AEA12" i="2"/>
  <c r="AED12" i="2" s="1"/>
  <c r="ACO12" i="2"/>
  <c r="ACM12" i="2"/>
  <c r="RM12" i="2"/>
  <c r="ACK12" i="2"/>
  <c r="ACD12" i="2"/>
  <c r="ACQ14" i="2"/>
  <c r="ACV14" i="2"/>
  <c r="ACD13" i="2"/>
  <c r="ACK13" i="2"/>
  <c r="AEA13" i="2"/>
  <c r="AED13" i="2" s="1"/>
  <c r="ACO13" i="2"/>
  <c r="ACM13" i="2"/>
  <c r="RM13" i="2"/>
  <c r="AAC11" i="2"/>
  <c r="ZX11" i="2"/>
  <c r="ADQ10" i="2"/>
  <c r="ADR10" i="2" s="1"/>
  <c r="ACH10" i="2"/>
  <c r="ACJ10" i="2"/>
  <c r="ACI10" i="2"/>
  <c r="ADY10" i="2"/>
  <c r="AEC10" i="2" s="1"/>
  <c r="AAB10" i="2"/>
  <c r="AAA10" i="2"/>
  <c r="ACH41" i="1"/>
  <c r="ADQ41" i="1"/>
  <c r="ADR41" i="1" s="1"/>
  <c r="ACJ41" i="1"/>
  <c r="ADY41" i="1"/>
  <c r="AEC41" i="1" s="1"/>
  <c r="ACI41" i="1"/>
  <c r="ADQ44" i="1"/>
  <c r="ADR44" i="1" s="1"/>
  <c r="ACH44" i="1"/>
  <c r="ACJ44" i="1"/>
  <c r="ACI44" i="1"/>
  <c r="ADY44" i="1"/>
  <c r="AEC44" i="1" s="1"/>
  <c r="ADQ27" i="1"/>
  <c r="ADR27" i="1" s="1"/>
  <c r="ACH27" i="1"/>
  <c r="ACI27" i="1"/>
  <c r="ACJ27" i="1"/>
  <c r="ADY27" i="1"/>
  <c r="AEC27" i="1" s="1"/>
  <c r="AEA10" i="1"/>
  <c r="AED10" i="1" s="1"/>
  <c r="ACO10" i="1"/>
  <c r="ACM10" i="1"/>
  <c r="RM10" i="1"/>
  <c r="ACD10" i="1"/>
  <c r="ACK10" i="1"/>
  <c r="AAC45" i="1"/>
  <c r="ZX45" i="1"/>
  <c r="AAC26" i="1"/>
  <c r="ZX26" i="1"/>
  <c r="AAC24" i="1"/>
  <c r="ZX24" i="1"/>
  <c r="AAC15" i="1"/>
  <c r="ZX15" i="1"/>
  <c r="AAC44" i="1"/>
  <c r="ZX44" i="1"/>
  <c r="ACK38" i="1"/>
  <c r="ACD38" i="1"/>
  <c r="ADQ24" i="1"/>
  <c r="ADR24" i="1" s="1"/>
  <c r="ACH24" i="1"/>
  <c r="ACI24" i="1"/>
  <c r="ACJ24" i="1"/>
  <c r="ADY24" i="1"/>
  <c r="AEC24" i="1" s="1"/>
  <c r="ADQ31" i="1"/>
  <c r="ADR31" i="1" s="1"/>
  <c r="ACH31" i="1"/>
  <c r="ACI31" i="1"/>
  <c r="ACJ31" i="1"/>
  <c r="ADY31" i="1"/>
  <c r="AEC31" i="1" s="1"/>
  <c r="ADQ45" i="1"/>
  <c r="ADR45" i="1" s="1"/>
  <c r="ACH45" i="1"/>
  <c r="ACI45" i="1"/>
  <c r="ADY45" i="1"/>
  <c r="AEC45" i="1" s="1"/>
  <c r="ACJ45" i="1"/>
  <c r="ADQ21" i="1"/>
  <c r="ADR21" i="1" s="1"/>
  <c r="ACH21" i="1"/>
  <c r="ACJ21" i="1"/>
  <c r="ADY21" i="1"/>
  <c r="AEC21" i="1" s="1"/>
  <c r="ACI21" i="1"/>
  <c r="AAB12" i="1"/>
  <c r="AAA12" i="1"/>
  <c r="AEA30" i="1"/>
  <c r="AED30" i="1" s="1"/>
  <c r="ACO30" i="1"/>
  <c r="ACM30" i="1"/>
  <c r="RM30" i="1"/>
  <c r="ACD30" i="1"/>
  <c r="ACK30" i="1"/>
  <c r="AAL27" i="1"/>
  <c r="AAG27" i="1"/>
  <c r="AAE27" i="1"/>
  <c r="AEA28" i="1"/>
  <c r="AED28" i="1" s="1"/>
  <c r="ACO28" i="1"/>
  <c r="ACM28" i="1"/>
  <c r="RM28" i="1"/>
  <c r="AAE37" i="1"/>
  <c r="AAL37" i="1"/>
  <c r="AAG37" i="1"/>
  <c r="ACO15" i="1"/>
  <c r="ACM15" i="1"/>
  <c r="RM15" i="1"/>
  <c r="AEA15" i="1"/>
  <c r="AED15" i="1" s="1"/>
  <c r="ACD15" i="1"/>
  <c r="ACK15" i="1"/>
  <c r="ACB12" i="1"/>
  <c r="ACG12" i="1" s="1"/>
  <c r="QF12" i="1"/>
  <c r="UU12" i="1"/>
  <c r="UV12" i="1"/>
  <c r="ADQ42" i="1"/>
  <c r="ADR42" i="1" s="1"/>
  <c r="ACH42" i="1"/>
  <c r="ADY42" i="1"/>
  <c r="AEC42" i="1" s="1"/>
  <c r="ACI42" i="1"/>
  <c r="ACJ42" i="1"/>
  <c r="AAB25" i="1"/>
  <c r="AAA25" i="1"/>
  <c r="AAL21" i="1"/>
  <c r="AAG21" i="1"/>
  <c r="AAE21" i="1"/>
  <c r="AEA40" i="1"/>
  <c r="AED40" i="1" s="1"/>
  <c r="ACO40" i="1"/>
  <c r="ACM40" i="1"/>
  <c r="RM40" i="1"/>
  <c r="ACB16" i="1"/>
  <c r="ACG16" i="1" s="1"/>
  <c r="QF16" i="1"/>
  <c r="UV16" i="1"/>
  <c r="UU16" i="1"/>
  <c r="ADQ32" i="1"/>
  <c r="ADR32" i="1" s="1"/>
  <c r="ACH32" i="1"/>
  <c r="ACI32" i="1"/>
  <c r="ACJ32" i="1"/>
  <c r="ADY32" i="1"/>
  <c r="AEC32" i="1" s="1"/>
  <c r="AAB41" i="1"/>
  <c r="AAA41" i="1"/>
  <c r="ADQ29" i="1"/>
  <c r="ADR29" i="1" s="1"/>
  <c r="ACH29" i="1"/>
  <c r="ADY29" i="1"/>
  <c r="AEC29" i="1" s="1"/>
  <c r="ACJ29" i="1"/>
  <c r="ACI29" i="1"/>
  <c r="ACQ34" i="1"/>
  <c r="ACV34" i="1"/>
  <c r="ACQ33" i="1"/>
  <c r="ACV33" i="1"/>
  <c r="AAC32" i="1"/>
  <c r="ZX32" i="1"/>
  <c r="AAC40" i="1"/>
  <c r="ZX40" i="1"/>
  <c r="AAC28" i="1"/>
  <c r="ZX28" i="1"/>
  <c r="AEA39" i="1"/>
  <c r="AED39" i="1" s="1"/>
  <c r="ACO39" i="1"/>
  <c r="ACM39" i="1"/>
  <c r="RM39" i="1"/>
  <c r="ACD39" i="1"/>
  <c r="ACK39" i="1"/>
  <c r="ACB25" i="1"/>
  <c r="ACG25" i="1" s="1"/>
  <c r="QF25" i="1"/>
  <c r="UU25" i="1"/>
  <c r="UV25" i="1"/>
  <c r="ACK26" i="1"/>
  <c r="ACD26" i="1"/>
  <c r="AAC42" i="1"/>
  <c r="ZX42" i="1"/>
  <c r="AAC36" i="1"/>
  <c r="ZX36" i="1"/>
  <c r="AAC16" i="1"/>
  <c r="ZX16" i="1"/>
  <c r="ADQ36" i="1"/>
  <c r="ADR36" i="1" s="1"/>
  <c r="ACH36" i="1"/>
  <c r="ADY36" i="1"/>
  <c r="AEC36" i="1" s="1"/>
  <c r="ACI36" i="1"/>
  <c r="ACJ36" i="1"/>
  <c r="AAE45" i="1"/>
  <c r="AAL45" i="1"/>
  <c r="AAG45" i="1"/>
  <c r="AAL26" i="1"/>
  <c r="AAG26" i="1"/>
  <c r="AAE26" i="1"/>
  <c r="AAL24" i="1"/>
  <c r="AAG24" i="1"/>
  <c r="AAE24" i="1"/>
  <c r="AAE15" i="1"/>
  <c r="AAL15" i="1"/>
  <c r="AAG15" i="1"/>
  <c r="AAE44" i="1"/>
  <c r="AAL44" i="1"/>
  <c r="AAG44" i="1"/>
  <c r="ACK43" i="1"/>
  <c r="ACD43" i="1"/>
  <c r="AEA43" i="1"/>
  <c r="AED43" i="1" s="1"/>
  <c r="ACO43" i="1"/>
  <c r="ACM43" i="1"/>
  <c r="RM43" i="1"/>
  <c r="RM38" i="1"/>
  <c r="AEA38" i="1"/>
  <c r="AED38" i="1" s="1"/>
  <c r="ACO38" i="1"/>
  <c r="ACM38" i="1"/>
  <c r="AAC27" i="1"/>
  <c r="ZX27" i="1"/>
  <c r="QF37" i="1"/>
  <c r="ACB37" i="1"/>
  <c r="ACG37" i="1" s="1"/>
  <c r="UV37" i="1"/>
  <c r="UU37" i="1"/>
  <c r="ACD28" i="1"/>
  <c r="ACK28" i="1"/>
  <c r="AAC37" i="1"/>
  <c r="ZX37" i="1"/>
  <c r="ACB35" i="1"/>
  <c r="ACG35" i="1" s="1"/>
  <c r="QF35" i="1"/>
  <c r="UU35" i="1"/>
  <c r="UV35" i="1"/>
  <c r="AAB17" i="1"/>
  <c r="AAA17" i="1"/>
  <c r="AAB35" i="1"/>
  <c r="AAA35" i="1"/>
  <c r="ADQ23" i="1"/>
  <c r="ADR23" i="1" s="1"/>
  <c r="ACH23" i="1"/>
  <c r="ACJ23" i="1"/>
  <c r="ACI23" i="1"/>
  <c r="ADY23" i="1"/>
  <c r="AEC23" i="1" s="1"/>
  <c r="AAC21" i="1"/>
  <c r="ZX21" i="1"/>
  <c r="ACK40" i="1"/>
  <c r="ACD40" i="1"/>
  <c r="AAL32" i="1"/>
  <c r="AAG32" i="1"/>
  <c r="AAE32" i="1"/>
  <c r="AAL40" i="1"/>
  <c r="AAG40" i="1"/>
  <c r="AAE40" i="1"/>
  <c r="AAE28" i="1"/>
  <c r="AAL28" i="1"/>
  <c r="AAG28" i="1"/>
  <c r="ACB17" i="1"/>
  <c r="ACG17" i="1" s="1"/>
  <c r="QF17" i="1"/>
  <c r="UV17" i="1"/>
  <c r="UU17" i="1"/>
  <c r="RM26" i="1"/>
  <c r="AEA26" i="1"/>
  <c r="AED26" i="1" s="1"/>
  <c r="ACO26" i="1"/>
  <c r="ACM26" i="1"/>
  <c r="AAE42" i="1"/>
  <c r="AAL42" i="1"/>
  <c r="AAG42" i="1"/>
  <c r="AAL36" i="1"/>
  <c r="AAG36" i="1"/>
  <c r="AAE36" i="1"/>
  <c r="AAL16" i="1"/>
  <c r="AAG16" i="1"/>
  <c r="AAE16" i="1"/>
  <c r="RH25" i="1"/>
  <c r="RI25" i="1" s="1"/>
  <c r="RL25" i="1" s="1"/>
  <c r="AAE10" i="2" l="1"/>
  <c r="AAL10" i="2"/>
  <c r="AAG10" i="2"/>
  <c r="ACK10" i="2"/>
  <c r="ACD10" i="2"/>
  <c r="ACK11" i="2"/>
  <c r="ACD11" i="2"/>
  <c r="AAC10" i="2"/>
  <c r="ZX10" i="2"/>
  <c r="AEA10" i="2"/>
  <c r="AED10" i="2" s="1"/>
  <c r="ACO10" i="2"/>
  <c r="ACM10" i="2"/>
  <c r="RM10" i="2"/>
  <c r="ACQ13" i="2"/>
  <c r="ACV13" i="2"/>
  <c r="ACQ12" i="2"/>
  <c r="ACV12" i="2"/>
  <c r="AEA11" i="2"/>
  <c r="AED11" i="2" s="1"/>
  <c r="ACO11" i="2"/>
  <c r="ACM11" i="2"/>
  <c r="RM11" i="2"/>
  <c r="AEA23" i="1"/>
  <c r="AED23" i="1" s="1"/>
  <c r="ACO23" i="1"/>
  <c r="ACM23" i="1"/>
  <c r="RM23" i="1"/>
  <c r="AAL35" i="1"/>
  <c r="AAG35" i="1"/>
  <c r="AAE35" i="1"/>
  <c r="AAL17" i="1"/>
  <c r="AAG17" i="1"/>
  <c r="AAE17" i="1"/>
  <c r="ADQ37" i="1"/>
  <c r="ADR37" i="1" s="1"/>
  <c r="ACH37" i="1"/>
  <c r="ADY37" i="1"/>
  <c r="AEC37" i="1" s="1"/>
  <c r="ACI37" i="1"/>
  <c r="ACJ37" i="1"/>
  <c r="ACQ43" i="1"/>
  <c r="ACV43" i="1"/>
  <c r="RM36" i="1"/>
  <c r="AEA36" i="1"/>
  <c r="AED36" i="1" s="1"/>
  <c r="ACO36" i="1"/>
  <c r="ACM36" i="1"/>
  <c r="ACQ39" i="1"/>
  <c r="ACV39" i="1"/>
  <c r="AEA29" i="1"/>
  <c r="AED29" i="1" s="1"/>
  <c r="ACO29" i="1"/>
  <c r="ACM29" i="1"/>
  <c r="RM29" i="1"/>
  <c r="AAC41" i="1"/>
  <c r="ZX41" i="1"/>
  <c r="ACK32" i="1"/>
  <c r="ACD32" i="1"/>
  <c r="ACQ40" i="1"/>
  <c r="ACV40" i="1"/>
  <c r="AAC25" i="1"/>
  <c r="ZX25" i="1"/>
  <c r="AEA42" i="1"/>
  <c r="AED42" i="1" s="1"/>
  <c r="ACO42" i="1"/>
  <c r="ACM42" i="1"/>
  <c r="RM42" i="1"/>
  <c r="ACQ30" i="1"/>
  <c r="ACV30" i="1"/>
  <c r="AAE12" i="1"/>
  <c r="AAL12" i="1"/>
  <c r="AAG12" i="1"/>
  <c r="RM21" i="1"/>
  <c r="AEA21" i="1"/>
  <c r="AED21" i="1" s="1"/>
  <c r="ACO21" i="1"/>
  <c r="ACM21" i="1"/>
  <c r="ACK21" i="1"/>
  <c r="ACD21" i="1"/>
  <c r="AEA31" i="1"/>
  <c r="AED31" i="1" s="1"/>
  <c r="RM31" i="1"/>
  <c r="ACO31" i="1"/>
  <c r="ACM31" i="1"/>
  <c r="ACK24" i="1"/>
  <c r="ACD24" i="1"/>
  <c r="ACQ10" i="1"/>
  <c r="ACV10" i="1"/>
  <c r="AEA27" i="1"/>
  <c r="AED27" i="1" s="1"/>
  <c r="ACO27" i="1"/>
  <c r="ACM27" i="1"/>
  <c r="RM27" i="1"/>
  <c r="AEA44" i="1"/>
  <c r="AED44" i="1" s="1"/>
  <c r="ACO44" i="1"/>
  <c r="ACM44" i="1"/>
  <c r="RM44" i="1"/>
  <c r="ACO41" i="1"/>
  <c r="ACM41" i="1"/>
  <c r="AEA41" i="1"/>
  <c r="AED41" i="1" s="1"/>
  <c r="RM41" i="1"/>
  <c r="ACD41" i="1"/>
  <c r="ACK41" i="1"/>
  <c r="ACQ26" i="1"/>
  <c r="ACV26" i="1"/>
  <c r="ACH17" i="1"/>
  <c r="ADQ17" i="1"/>
  <c r="ADR17" i="1" s="1"/>
  <c r="ACI17" i="1"/>
  <c r="ACJ17" i="1"/>
  <c r="ADY17" i="1"/>
  <c r="AEC17" i="1" s="1"/>
  <c r="ACD23" i="1"/>
  <c r="ACK23" i="1"/>
  <c r="AAC35" i="1"/>
  <c r="ZX35" i="1"/>
  <c r="AAC17" i="1"/>
  <c r="ZX17" i="1"/>
  <c r="ADQ35" i="1"/>
  <c r="ADR35" i="1" s="1"/>
  <c r="ACH35" i="1"/>
  <c r="ACI35" i="1"/>
  <c r="ACJ35" i="1"/>
  <c r="ADY35" i="1"/>
  <c r="AEC35" i="1" s="1"/>
  <c r="ACQ38" i="1"/>
  <c r="ACV38" i="1"/>
  <c r="ACK36" i="1"/>
  <c r="ACD36" i="1"/>
  <c r="ADQ25" i="1"/>
  <c r="ADR25" i="1" s="1"/>
  <c r="ACH25" i="1"/>
  <c r="ACI25" i="1"/>
  <c r="ACJ25" i="1"/>
  <c r="ADY25" i="1"/>
  <c r="AEC25" i="1" s="1"/>
  <c r="ACD29" i="1"/>
  <c r="ACK29" i="1"/>
  <c r="AAE41" i="1"/>
  <c r="AAL41" i="1"/>
  <c r="AAG41" i="1"/>
  <c r="RM32" i="1"/>
  <c r="AEA32" i="1"/>
  <c r="AED32" i="1" s="1"/>
  <c r="ACO32" i="1"/>
  <c r="ACM32" i="1"/>
  <c r="ACH16" i="1"/>
  <c r="ADQ16" i="1"/>
  <c r="ADR16" i="1" s="1"/>
  <c r="ADY16" i="1"/>
  <c r="AEC16" i="1" s="1"/>
  <c r="ACI16" i="1"/>
  <c r="ACJ16" i="1"/>
  <c r="AAL25" i="1"/>
  <c r="AAG25" i="1"/>
  <c r="AAE25" i="1"/>
  <c r="ACD42" i="1"/>
  <c r="ACK42" i="1"/>
  <c r="ADQ12" i="1"/>
  <c r="ADR12" i="1" s="1"/>
  <c r="ACH12" i="1"/>
  <c r="ACJ12" i="1"/>
  <c r="ADY12" i="1"/>
  <c r="AEC12" i="1" s="1"/>
  <c r="ACI12" i="1"/>
  <c r="ACQ15" i="1"/>
  <c r="ACV15" i="1"/>
  <c r="ACQ28" i="1"/>
  <c r="ACV28" i="1"/>
  <c r="AAC12" i="1"/>
  <c r="ZX12" i="1"/>
  <c r="ACK45" i="1"/>
  <c r="ACD45" i="1"/>
  <c r="AEA45" i="1"/>
  <c r="AED45" i="1" s="1"/>
  <c r="ACO45" i="1"/>
  <c r="ACM45" i="1"/>
  <c r="RM45" i="1"/>
  <c r="ACK31" i="1"/>
  <c r="ACD31" i="1"/>
  <c r="AEA24" i="1"/>
  <c r="AED24" i="1" s="1"/>
  <c r="ACO24" i="1"/>
  <c r="ACM24" i="1"/>
  <c r="RM24" i="1"/>
  <c r="ACK27" i="1"/>
  <c r="ACD27" i="1"/>
  <c r="ACK44" i="1"/>
  <c r="ACD44" i="1"/>
  <c r="ACQ11" i="2" l="1"/>
  <c r="ACV11" i="2"/>
  <c r="ACQ10" i="2"/>
  <c r="ACV10" i="2"/>
  <c r="ACQ24" i="1"/>
  <c r="ACV24" i="1"/>
  <c r="ACQ45" i="1"/>
  <c r="ACV45" i="1"/>
  <c r="AEA12" i="1"/>
  <c r="AED12" i="1" s="1"/>
  <c r="ACO12" i="1"/>
  <c r="ACM12" i="1"/>
  <c r="RM12" i="1"/>
  <c r="ACD12" i="1"/>
  <c r="ACK12" i="1"/>
  <c r="ACK16" i="1"/>
  <c r="ACD16" i="1"/>
  <c r="ACQ32" i="1"/>
  <c r="ACV32" i="1"/>
  <c r="AEA25" i="1"/>
  <c r="AED25" i="1" s="1"/>
  <c r="ACO25" i="1"/>
  <c r="ACM25" i="1"/>
  <c r="RM25" i="1"/>
  <c r="ACK35" i="1"/>
  <c r="ACD35" i="1"/>
  <c r="RM17" i="1"/>
  <c r="ACO17" i="1"/>
  <c r="ACM17" i="1"/>
  <c r="AEA17" i="1"/>
  <c r="AED17" i="1" s="1"/>
  <c r="ACQ41" i="1"/>
  <c r="ACV41" i="1"/>
  <c r="ACQ31" i="1"/>
  <c r="ACV31" i="1"/>
  <c r="ACQ21" i="1"/>
  <c r="ACV21" i="1"/>
  <c r="ACQ42" i="1"/>
  <c r="ACV42" i="1"/>
  <c r="ACQ29" i="1"/>
  <c r="ACV29" i="1"/>
  <c r="ACD37" i="1"/>
  <c r="ACK37" i="1"/>
  <c r="RM16" i="1"/>
  <c r="ACO16" i="1"/>
  <c r="ACM16" i="1"/>
  <c r="AEA16" i="1"/>
  <c r="AED16" i="1" s="1"/>
  <c r="ACK25" i="1"/>
  <c r="ACD25" i="1"/>
  <c r="RM35" i="1"/>
  <c r="AEA35" i="1"/>
  <c r="AED35" i="1" s="1"/>
  <c r="ACO35" i="1"/>
  <c r="ACM35" i="1"/>
  <c r="ACK17" i="1"/>
  <c r="ACD17" i="1"/>
  <c r="ACQ44" i="1"/>
  <c r="ACV44" i="1"/>
  <c r="ACQ27" i="1"/>
  <c r="ACV27" i="1"/>
  <c r="ACQ36" i="1"/>
  <c r="ACV36" i="1"/>
  <c r="AEA37" i="1"/>
  <c r="AED37" i="1" s="1"/>
  <c r="ACO37" i="1"/>
  <c r="ACM37" i="1"/>
  <c r="RM37" i="1"/>
  <c r="ACV23" i="1"/>
  <c r="ACQ23" i="1"/>
  <c r="ACQ35" i="1" l="1"/>
  <c r="ACV35" i="1"/>
  <c r="ACQ37" i="1"/>
  <c r="ACV37" i="1"/>
  <c r="ACQ16" i="1"/>
  <c r="ACV16" i="1"/>
  <c r="ACQ17" i="1"/>
  <c r="ACV17" i="1"/>
  <c r="ACQ25" i="1"/>
  <c r="ACV25" i="1"/>
  <c r="ACQ12" i="1"/>
  <c r="ACV12" i="1"/>
</calcChain>
</file>

<file path=xl/sharedStrings.xml><?xml version="1.0" encoding="utf-8"?>
<sst xmlns="http://schemas.openxmlformats.org/spreadsheetml/2006/main" count="1864" uniqueCount="585">
  <si>
    <t>Структура платы за жилое помещение на 1 кв.м общей площади жилья по ООО "Управляющая компания № 1" на 2016 год</t>
  </si>
  <si>
    <t>Структура платы за содержание жилого помещения на 1 кв.м общей площади помещения по ООО "Управляющая компания № 3" с 01 января 2017 года по МКД</t>
  </si>
  <si>
    <t>Структура платы за содержание жилого помещения на 1 кв.м общей площади жилья по ООО "Управляющая компания № 1" с 01 июля 2016 года по МКД, находящимся в управлении</t>
  </si>
  <si>
    <t>Структура платы за содержание жилого помещения на 1 кв.м общей площади жилья по ООО "Управляющая компания № 1" с 01 октября 2016 года по МКД</t>
  </si>
  <si>
    <t>№ п/п</t>
  </si>
  <si>
    <t>Адреса многоквартирных домов</t>
  </si>
  <si>
    <t>Содержание и ремонт жилого помещения, в том числе:</t>
  </si>
  <si>
    <t>значение</t>
  </si>
  <si>
    <t>2015 год Предлагаемая цена с учетом группировки по степени</t>
  </si>
  <si>
    <t xml:space="preserve">2014 год              </t>
  </si>
  <si>
    <t>Услуги по управлению домом</t>
  </si>
  <si>
    <t>Услуги по содержанию многоквартирного дома</t>
  </si>
  <si>
    <t>в том числе:</t>
  </si>
  <si>
    <t>Текущий ремонт</t>
  </si>
  <si>
    <t>Прочие расходы</t>
  </si>
  <si>
    <t>ИТОГО размер платы за содержание и ремонт жилого помещения</t>
  </si>
  <si>
    <t>2015 год</t>
  </si>
  <si>
    <t>Взнос на капитальный ремонт, руб.</t>
  </si>
  <si>
    <t>Рост 2016г. к 2015г.</t>
  </si>
  <si>
    <t>Содержание жилого помещения, в том числе:</t>
  </si>
  <si>
    <t>2017 год</t>
  </si>
  <si>
    <t>2016 год</t>
  </si>
  <si>
    <t>Рост 2017г. к 2016г.</t>
  </si>
  <si>
    <t>Предлагаемые виды работ на 2017 год</t>
  </si>
  <si>
    <t>ИТОГО размер платы за содержание жилого помещения</t>
  </si>
  <si>
    <t>Дома блокированной застройки</t>
  </si>
  <si>
    <t>Подрядчик, обслуживающий МКД</t>
  </si>
  <si>
    <t>Степень благоустройства</t>
  </si>
  <si>
    <t>Общая площадь помещений, кв.м</t>
  </si>
  <si>
    <t>Прив.площадь, кв.м</t>
  </si>
  <si>
    <t>Кол-во квартир</t>
  </si>
  <si>
    <t>Общая площадь МОП, кв.м</t>
  </si>
  <si>
    <t>было</t>
  </si>
  <si>
    <t>Ремонт конструктивных элементов жилых зданий</t>
  </si>
  <si>
    <t>Ремонт конструктивных элементов</t>
  </si>
  <si>
    <t>Ремонт и обсл. внутрид. инженерного оборуд.</t>
  </si>
  <si>
    <t>Ремонт внутридомового оборудования</t>
  </si>
  <si>
    <t>для формы 1-тарифы ЖКХ</t>
  </si>
  <si>
    <t>Всего плата за 1 кв.м общей площади жилья для собственников, руб.</t>
  </si>
  <si>
    <t>ПРАВИЛЬНО</t>
  </si>
  <si>
    <t>пр</t>
  </si>
  <si>
    <t>для собственников жилья</t>
  </si>
  <si>
    <t>Содержание и техническое обслуживание всего:</t>
  </si>
  <si>
    <t>оплата МОП</t>
  </si>
  <si>
    <t>Услуги, сопровождающие основную деятельность</t>
  </si>
  <si>
    <t>Ремонтный фонд (Капитальный ремонт)</t>
  </si>
  <si>
    <t>ВСЕГО Ремонтный фонд</t>
  </si>
  <si>
    <t>Прибыль</t>
  </si>
  <si>
    <t>Налог</t>
  </si>
  <si>
    <t>Плата за 1 кв.м общей площади жилья для собственников, руб.</t>
  </si>
  <si>
    <t>Разница, руб. за 1 кв.м</t>
  </si>
  <si>
    <t>Плата за 1 кв.м общей площади жилья для нанимателей, руб.</t>
  </si>
  <si>
    <t>Рост для собственников</t>
  </si>
  <si>
    <t>Рост для нанимателей</t>
  </si>
  <si>
    <t>ДОХОДЫ на 2015 год - всего, руб.</t>
  </si>
  <si>
    <t xml:space="preserve">Ремонтный фонд </t>
  </si>
  <si>
    <t>Плановая ставка на 2015 год (с учет.увелич. 5,7%)</t>
  </si>
  <si>
    <t>2014 год              ремонтный фонд</t>
  </si>
  <si>
    <t>Содержание конструктивных элементов дома и внутридомового инженерного оборудования</t>
  </si>
  <si>
    <t>Услуги специализированных организаций</t>
  </si>
  <si>
    <t>Санитарное содержание мест общего пользования дома</t>
  </si>
  <si>
    <t>Предлагаемые виды работ на 2016 год</t>
  </si>
  <si>
    <r>
      <rPr>
        <b/>
        <u/>
        <sz val="12"/>
        <rFont val="Times New Roman"/>
        <family val="1"/>
        <charset val="204"/>
      </rPr>
      <t>2016 год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Содержание и техническое обслуживание всего:</t>
    </r>
  </si>
  <si>
    <r>
      <rPr>
        <b/>
        <u/>
        <sz val="12"/>
        <rFont val="Times New Roman"/>
        <family val="1"/>
        <charset val="204"/>
      </rPr>
      <t>2016 год</t>
    </r>
    <r>
      <rPr>
        <sz val="12"/>
        <rFont val="Times New Roman"/>
        <family val="1"/>
        <charset val="204"/>
      </rPr>
      <t xml:space="preserve">  Услуги, сопровождающие основную деятельность</t>
    </r>
  </si>
  <si>
    <t>Рост 2017г. к 2016</t>
  </si>
  <si>
    <r>
      <rPr>
        <b/>
        <u/>
        <sz val="12"/>
        <rFont val="Times New Roman"/>
        <family val="1"/>
        <charset val="204"/>
      </rPr>
      <t>2016 год</t>
    </r>
    <r>
      <rPr>
        <sz val="12"/>
        <rFont val="Times New Roman"/>
        <family val="1"/>
        <charset val="204"/>
      </rPr>
      <t xml:space="preserve"> Текущий ремонт</t>
    </r>
  </si>
  <si>
    <r>
      <rPr>
        <b/>
        <u/>
        <sz val="12"/>
        <rFont val="Times New Roman"/>
        <family val="1"/>
        <charset val="204"/>
      </rPr>
      <t>2016 год</t>
    </r>
    <r>
      <rPr>
        <sz val="12"/>
        <rFont val="Times New Roman"/>
        <family val="1"/>
        <charset val="204"/>
      </rPr>
      <t xml:space="preserve">  Прочие расходы</t>
    </r>
  </si>
  <si>
    <t>Плата за 1 кв.м общей площади помещения для собственников, руб.</t>
  </si>
  <si>
    <t>Плата с увеличением на инфляцию 5,1%, руб./кв.м</t>
  </si>
  <si>
    <t>Разница, руб./кв.м</t>
  </si>
  <si>
    <t>Ориентировочная сметная стоимость, руб.</t>
  </si>
  <si>
    <t>кол-во чел. в договор с ТБО 2014 год</t>
  </si>
  <si>
    <t>кол-во чел. для расчета по ТБО 2014 год</t>
  </si>
  <si>
    <t>Сумма договора на 2014 год по ТБО</t>
  </si>
  <si>
    <t>2014 год Расходы ТБО за 1 кв.м, руб.</t>
  </si>
  <si>
    <t>2014 год газ в год</t>
  </si>
  <si>
    <t>2014 год газ в месяц</t>
  </si>
  <si>
    <t>2014 год   Расходы газ за 1 кв.м, руб.</t>
  </si>
  <si>
    <t>Нормативы на МОП по электроэнергии кВт.час на 1 кв.м</t>
  </si>
  <si>
    <t>Тариф на 2015г., руб.</t>
  </si>
  <si>
    <t>Расчет МОП, руб. в месяц</t>
  </si>
  <si>
    <t>Нормативы на МОП по холодному водоснабжению куб.м на 1 кв.м</t>
  </si>
  <si>
    <t>Нормативы на МОП по горячему водоснабжению куб.м на 1 кв.м</t>
  </si>
  <si>
    <t>Общая сумма МОП, руб. в месяц</t>
  </si>
  <si>
    <t>МОП за 1 кв.м, руб.</t>
  </si>
  <si>
    <t>Общая сумма МОП, руб. в ГОД</t>
  </si>
  <si>
    <t>2017       Кол-во чел. прописанных</t>
  </si>
  <si>
    <t xml:space="preserve"> 2017       Кол-во чел.пользующихся</t>
  </si>
  <si>
    <t>Договор с МУП "Водоканал"            Кол-во чел.пользующихся</t>
  </si>
  <si>
    <t>Пользующихся услугой ТБО (для МУП "Водоканал")</t>
  </si>
  <si>
    <t>норматив по ТКО куб.м в год</t>
  </si>
  <si>
    <t>Объем в месяц, куб.м</t>
  </si>
  <si>
    <t>Тариф на 2017 год 391,01 руб./куб.м</t>
  </si>
  <si>
    <t>Стоимость в месяц, руб.</t>
  </si>
  <si>
    <t>2016 Кол-во чел. прописанных</t>
  </si>
  <si>
    <t>2016 Кол-во чел.пользующихся</t>
  </si>
  <si>
    <t>2017 год ТКО</t>
  </si>
  <si>
    <t>2015 год Кол-во чел. для расчета  ТБО</t>
  </si>
  <si>
    <t>норматив по ТКО, куб.м в год</t>
  </si>
  <si>
    <t>Тариф, руб. за 1 куб.м на 2015 год (средний тариф)</t>
  </si>
  <si>
    <t>МУП Юрьев-Польского района "Водоканал" - Договор по ТБО с 01.01.2015 года</t>
  </si>
  <si>
    <t>сбор и вывоз ТБО за 1 кв.м, руб.</t>
  </si>
  <si>
    <t>ТБО ГОД</t>
  </si>
  <si>
    <r>
      <t xml:space="preserve">Тариф, руб. за 1 куб.м на </t>
    </r>
    <r>
      <rPr>
        <b/>
        <sz val="12"/>
        <rFont val="Times New Roman"/>
        <family val="1"/>
        <charset val="204"/>
      </rPr>
      <t>2017 год</t>
    </r>
    <r>
      <rPr>
        <sz val="12"/>
        <rFont val="Times New Roman"/>
        <family val="1"/>
        <charset val="204"/>
      </rPr>
      <t xml:space="preserve"> 391,01 руб./кв.м</t>
    </r>
  </si>
  <si>
    <t>МУП Юрьев-Польского района "Водоканал" - заложено в плате с 01.01.2017 года</t>
  </si>
  <si>
    <t>Рост 2016/2015</t>
  </si>
  <si>
    <t>МУП Юрьев-Польского района "Водоканал" - заложено в плате ТКО с 01.01.2017 года с учетом договоров управления</t>
  </si>
  <si>
    <t>Разница к снятию по договору всего, руб.</t>
  </si>
  <si>
    <t>Разница к снятию за 6 месяцев, руб.</t>
  </si>
  <si>
    <t>МУП Юрьев-Польского района "Водоканал" - Договор по ТБО с 01.01.2016 года</t>
  </si>
  <si>
    <t>Разница к снятию от прописанных всего, руб.</t>
  </si>
  <si>
    <t>оплата труда рабочих 100% 2014 год</t>
  </si>
  <si>
    <t>оплата труда рабочих 100% с увел.6%</t>
  </si>
  <si>
    <t>Опл.труда 2014</t>
  </si>
  <si>
    <t>Оплата (0,75997063)</t>
  </si>
  <si>
    <t>Оплата (договор)</t>
  </si>
  <si>
    <t>Оплата (договор) с уч.изменений с 01.06.2013</t>
  </si>
  <si>
    <t>Оплата (договор) с 01.01.2014</t>
  </si>
  <si>
    <t>Оплата (договор) с учетом индекса-дефлятора (5,5%) на 2015 год</t>
  </si>
  <si>
    <t>Оплата (договор) с учетом индекса-дефлятора на 2015 год</t>
  </si>
  <si>
    <t>Оплата (договор) с учетом индекса-дефлятора (7,5%) на 2016 год</t>
  </si>
  <si>
    <t>Оплата (договор) с учетом индекса-дефлятора (7,5%) на 2016 год с учетом договора управления</t>
  </si>
  <si>
    <t>отчисления на социальные нужды новые 100%</t>
  </si>
  <si>
    <t>отчисления на социальные нужды новые 100% с увел.6%</t>
  </si>
  <si>
    <t xml:space="preserve">отч. на соц.нужды </t>
  </si>
  <si>
    <t>Отчисления (0,75997063)</t>
  </si>
  <si>
    <t>Отчисления (договор)</t>
  </si>
  <si>
    <t>Отчисления (договор) с уч.изм. с 01.06.2013</t>
  </si>
  <si>
    <t>Отчисления (договор) с 01.01.2014</t>
  </si>
  <si>
    <t>Отчисления (договор) с учетом индекса-дефлятора (5,5%) на 2015 год</t>
  </si>
  <si>
    <t>Отчисления (договор) с учетом индекса-дефлятора на 2015 год</t>
  </si>
  <si>
    <t>Отчисления (договор) с учетом индекса-дефлятора (7,5%) на 2016 год</t>
  </si>
  <si>
    <t>Отчисления (договор) с учетом индекса-дефлятора (7,5%) на 2016 год с учетом договора управления</t>
  </si>
  <si>
    <t>материалы новые 100%</t>
  </si>
  <si>
    <t>материалы новые 100% с увел.6%</t>
  </si>
  <si>
    <t xml:space="preserve">материалы </t>
  </si>
  <si>
    <t>Материалы (0,75997063)</t>
  </si>
  <si>
    <t>Материалы (договор)</t>
  </si>
  <si>
    <t>Материалы (договор) с уч.изм. с 01.06.2013</t>
  </si>
  <si>
    <t>Материалы (договор) с 01.01.2014</t>
  </si>
  <si>
    <t>Материалы (договор) с учетом индекса-дефлятора (5,5%) на 2015 год</t>
  </si>
  <si>
    <t>Материалы (договор) с учетом индекса-дефлятора на 2015 год</t>
  </si>
  <si>
    <t>Материалы (договор) с учетом индекса-дефлятора (7,5%) на 2016 год</t>
  </si>
  <si>
    <t>Материалы (договор) с учетом индекса-дефлятора (7,5%) на 2016 год с учетом договора управления</t>
  </si>
  <si>
    <t>прочие прямые расходы новые 100%</t>
  </si>
  <si>
    <t>прочие прямые расходы новые 100% с увел.6%</t>
  </si>
  <si>
    <t xml:space="preserve">прочие прямые расходы </t>
  </si>
  <si>
    <t>Прочие (0,75997063)</t>
  </si>
  <si>
    <t>Прочие (договор)</t>
  </si>
  <si>
    <t>Прочие (договор) с 01.01.2014</t>
  </si>
  <si>
    <t>Прочие расходы (договор) с учетом индекса-дефлятора (5,5%) на 2015 год</t>
  </si>
  <si>
    <t>Прочие расходы (договор) с учетом индекса-дефлятора на 2015 год</t>
  </si>
  <si>
    <t>Прочие расходы (договор) с учетом индекса-дефлятора (7,5%) на 2016 год</t>
  </si>
  <si>
    <t>Прочие расходы (договор) с учетом индекса-дефлятора (7,5%) на 2016 год с учетом договора управления</t>
  </si>
  <si>
    <t>оплата труда рабочих новые 100%</t>
  </si>
  <si>
    <t>оплата труда рабочих новые 100% с увел.6%</t>
  </si>
  <si>
    <t xml:space="preserve">оплата труда рабочих </t>
  </si>
  <si>
    <t>Оплата труда (договор) с учетом индекса-дефлятора (5,5%) на 2015 год</t>
  </si>
  <si>
    <t>Оплата труда (договор) с учетом индекса-дефлятора (7,5%) на 2016 год</t>
  </si>
  <si>
    <t>Оплата труда (договор) с учетом индекса-дефлятора (7,5%) на 2016 год с учетом договора управления</t>
  </si>
  <si>
    <t>отчисления на социальные нужды 100%</t>
  </si>
  <si>
    <t>отчисления на социальные нужды 100% с увел.6%</t>
  </si>
  <si>
    <t>отчисления на социальные нужды</t>
  </si>
  <si>
    <t>Отчисления (договор) с уч.изменений с 01.06.2013</t>
  </si>
  <si>
    <t>Материалы (договор) с уч.изменений с 01.06.2013</t>
  </si>
  <si>
    <t>Материалы (договор) с уч.изменений с 01.06.2013 (НОВЫЙ)</t>
  </si>
  <si>
    <t>Обслуживание газовых плит в год на 2015 год</t>
  </si>
  <si>
    <t>Обслуживание газовых плит в месяц на 2015 год</t>
  </si>
  <si>
    <t>Договор ТО 2015 год</t>
  </si>
  <si>
    <t>Филиал ОАО "Газпром" газораспределение Владимир" в г.Юрьев-Польском  - Договор ТО 2015 в месяц</t>
  </si>
  <si>
    <t>Общая по газу</t>
  </si>
  <si>
    <t>Газ (внутридом.обор. и г/плиты) за 1 кв.м, руб.</t>
  </si>
  <si>
    <t>Обслуживание газовых плит в год на 2016 год</t>
  </si>
  <si>
    <t>Договор ТО 2016 год</t>
  </si>
  <si>
    <t>Общая по газу на 2016 год</t>
  </si>
  <si>
    <t>Обслуживание газовых плит в год на 2016 год с учетм договора управления</t>
  </si>
  <si>
    <t>Договор ТО 2016 год с учетом договор управления</t>
  </si>
  <si>
    <t>Общая по газу на 2016 год с учетом договора управления</t>
  </si>
  <si>
    <t xml:space="preserve">Обслуживание газовых плит в год на 2017 год </t>
  </si>
  <si>
    <t xml:space="preserve">Договор ТО 2017 год </t>
  </si>
  <si>
    <t xml:space="preserve">Общая по газу на 2017 год </t>
  </si>
  <si>
    <t>АВР 100%</t>
  </si>
  <si>
    <t>АВР с 01.01.2014</t>
  </si>
  <si>
    <t>АВР (договор) с учетом индекса-дефлятора на 2015 год</t>
  </si>
  <si>
    <t>АВР (договор) с учетом индекса-дефлятора на 2016 год</t>
  </si>
  <si>
    <t>АВР (договор) с учетом индекса-дефлятора на 2016 год с учетом договора управления</t>
  </si>
  <si>
    <t xml:space="preserve">АВР </t>
  </si>
  <si>
    <t>АВР (договор) с учетом индекса-дефлятора</t>
  </si>
  <si>
    <t>УК</t>
  </si>
  <si>
    <t>Индекс-дефлятор</t>
  </si>
  <si>
    <t>УК (договор) с учетом роста индекса-дефлятора</t>
  </si>
  <si>
    <t>УК с 01.01.2014 года</t>
  </si>
  <si>
    <t>ООО "Управляющая компания" - Услуги, сопровождающие основную деятельность с 01.01.2015 года</t>
  </si>
  <si>
    <t>Расходы УК за 1 кв.м, руб.</t>
  </si>
  <si>
    <t>УК в год руб.</t>
  </si>
  <si>
    <t>ООО "Управляющая компания" - Услуги, сопровождающие основную деятельность с 01.01.2017 года (увеличение на 5,1%)</t>
  </si>
  <si>
    <t>ООО "Управляющая компания" - Услуги, сопровождающие основную деятельность с 01.01.2017 года с учетом договора управления (с увеличением на 5,1%)</t>
  </si>
  <si>
    <t>ООО "Управляющая компания" - Услуги, сопровождающие основную деятельность с 01.01.2016 года с учетом договора управления средняя</t>
  </si>
  <si>
    <t>Сод.транспорта 100%</t>
  </si>
  <si>
    <t>Сод.транспорта 100% с увел.6%</t>
  </si>
  <si>
    <t>Сод.транспорта</t>
  </si>
  <si>
    <t>Сод.транспорта (договор)</t>
  </si>
  <si>
    <t>Содеражние транспорта (договор) с 01.01.2014</t>
  </si>
  <si>
    <t>Содержание транспорта (договор) с учетом индекса-дефлятора (5,5%) на 2015 год</t>
  </si>
  <si>
    <t>Содержание транспорта (договор) с учетом индекса-дефлятора на 2015 год</t>
  </si>
  <si>
    <t>Содержание транспорта (договор) с учетом индекса-дефлятора (7,5%) на 2016 год</t>
  </si>
  <si>
    <t>Содержание транспорта (договор) с учетом индекса-дефлятора (7,5%) на 2016 год с учетом договора управления</t>
  </si>
  <si>
    <t>Услуги др.орг. 100%</t>
  </si>
  <si>
    <t>Услуги др.орг. 100% с увел.6%</t>
  </si>
  <si>
    <t>Услуги др.орг.</t>
  </si>
  <si>
    <t>Услуги стор.транспорта (договор)</t>
  </si>
  <si>
    <t>Услуги сторон.транспорта (договор) с 01.01.2014</t>
  </si>
  <si>
    <t>Услуги стороннего транспорта (договор) с учетом индекса-дефлятора (5,5%) на 2015 год</t>
  </si>
  <si>
    <t>Услуги стороннего транспорта (договор) с учетом индекса-дефлятора на 2015 год</t>
  </si>
  <si>
    <t>Услуги стороннего транспорта (договор) с учетом индекса-дефлятора (7,5%) на 2016 год</t>
  </si>
  <si>
    <t>Услуги стороннего транспорта (договор) с учетом индекса-дефлятора (7,5%) на 2016 год с учетом договора управления</t>
  </si>
  <si>
    <t>прочие 100%</t>
  </si>
  <si>
    <t>прочие</t>
  </si>
  <si>
    <t>Прочие (договор) с учетом индекса-дефлятора</t>
  </si>
  <si>
    <t>Общеэксп.расходы</t>
  </si>
  <si>
    <t>Общеэксп.расходы для договора %</t>
  </si>
  <si>
    <t>Косцы</t>
  </si>
  <si>
    <t>Общеэксп.расходы 100%</t>
  </si>
  <si>
    <t>Общеэксп.расходы 100% с уч.увел.6%</t>
  </si>
  <si>
    <t>Затраты 100%</t>
  </si>
  <si>
    <t>Общеэксплуатационные расходы (0,75997063)</t>
  </si>
  <si>
    <t>Общеэксплуат. (договор)</t>
  </si>
  <si>
    <t>Общеэксплуатационные расходы (договор) с 01.01.2014</t>
  </si>
  <si>
    <t>Общеэксплуатационные расходы (договор) с учетом индекса-дефлятора (5,5%) на 2015 год</t>
  </si>
  <si>
    <t>Общеэксплуатационные расходы (договор) с учетом индекса-дефлятора на 2015 год</t>
  </si>
  <si>
    <t>Общеэксплуатационные расходы (договор) с учетом индекса-дефлятора (7,5%) на 2016 год</t>
  </si>
  <si>
    <t>Общеэксплуатационные расходы (договор) с учетом индекса-дефлятора (7,5%) на 2016 год с учетом договора управления</t>
  </si>
  <si>
    <t>РАСХОДЫ подрядной организации на 2015 год (услуги подрядной организации)</t>
  </si>
  <si>
    <t>Расходы подрядной организации за 1 кв.м, руб.</t>
  </si>
  <si>
    <t>ПО в год руб.</t>
  </si>
  <si>
    <t>РАСХОДЫ подрядной организации на 2016 год (услуги подрядной организации)</t>
  </si>
  <si>
    <t>РАСХОДЫ подрядной организации на 2017 год (услуги подрядной организации) (с увеличением на 5,1%)</t>
  </si>
  <si>
    <t>РАСХОДЫ подрядной организации на 2017 год (услуги подрядной организации) с учетом договора управления</t>
  </si>
  <si>
    <t>Обслуживание вентиляционных каналов за 1 кв.м, руб.</t>
  </si>
  <si>
    <t xml:space="preserve">Обслуживание вентиляционных каналов, руб. </t>
  </si>
  <si>
    <t>Восстановление работоспособности коммуникационных сетей (домофонов) за 1 кв.м, руб.</t>
  </si>
  <si>
    <t xml:space="preserve">Восстановление работоспособности коммуникационных сетей (домофонов), руб. </t>
  </si>
  <si>
    <t>Коменданты</t>
  </si>
  <si>
    <t>Коменданты с 01.01.2014</t>
  </si>
  <si>
    <t>Коменданты (договор) с учетом индекса-дефлятора на 2015 год</t>
  </si>
  <si>
    <t>Коменданты (договор) с учетом индекса-дефлятора на 2017 год</t>
  </si>
  <si>
    <t>уборщицы</t>
  </si>
  <si>
    <t>Уборщицы  с 01.01.2014</t>
  </si>
  <si>
    <t>Уборщицы (договор) с учетом индекса-дефлятора на 2015 год</t>
  </si>
  <si>
    <t>Уборщицы (договор) с учетом индекса-дефлятора на 2017 год</t>
  </si>
  <si>
    <t>Дежурный</t>
  </si>
  <si>
    <t>Дежурный с 01.01.2014</t>
  </si>
  <si>
    <t>Дежурный (договор) с учетом индекса-дефлятора на 2015 год</t>
  </si>
  <si>
    <t>Дежурный (договор) с учетом индекса-дефлятора на 2017 год</t>
  </si>
  <si>
    <t>Материалы</t>
  </si>
  <si>
    <t>Материалы с 01.01.2014</t>
  </si>
  <si>
    <t>Материалы (договор) с учетом индекса-дефлятора на 2017 год</t>
  </si>
  <si>
    <t>Расходы по бывшим общежитиям (коменд, дежур.)</t>
  </si>
  <si>
    <t>Расходы по бывшим общежитиям за 1 кв.м, руб.</t>
  </si>
  <si>
    <t>Расходы по бывшим общежитиям (коменд, дежур.) на 2017 год</t>
  </si>
  <si>
    <t>СЭС (Дератизация и дезинсекция) за 1 кв.м, руб.</t>
  </si>
  <si>
    <t xml:space="preserve">СЭС (Дератизация и дезинсекция), руб. </t>
  </si>
  <si>
    <t>СЭС в год руб.</t>
  </si>
  <si>
    <t>СЭС (Дератизация и дезинсекция), руб. (5,1%)</t>
  </si>
  <si>
    <t>СЭС (Дератизация и дезинсекция)с учетом договора управления, руб. (6,4%)</t>
  </si>
  <si>
    <t>Окос придомовой территории за 1 кв.м, руб.</t>
  </si>
  <si>
    <t xml:space="preserve">Окос придомовой территории, руб. </t>
  </si>
  <si>
    <t>Окос придомовой территории в год руб.</t>
  </si>
  <si>
    <t>Окос придомовой территории, руб. (5,1%)</t>
  </si>
  <si>
    <t>Окос придомовой территории с учетом договора управления, руб. (6,4%)</t>
  </si>
  <si>
    <t>Уборка придомовой территории за 1 кв.м, руб.</t>
  </si>
  <si>
    <t>Уборка придомовой территории, руб. (5,5%)</t>
  </si>
  <si>
    <t>Уборка придомовой территории, руб. год</t>
  </si>
  <si>
    <t>Уборка придомовой территории, руб. (5,1%)</t>
  </si>
  <si>
    <t>Уборка придомовой территории с учетом договора управления, руб. (6,4%)</t>
  </si>
  <si>
    <t>Уборка МОП за 1 кв.м, руб.</t>
  </si>
  <si>
    <t>Уборка МОП, руб. (5,5%)</t>
  </si>
  <si>
    <t>Уборка МОП, руб. год</t>
  </si>
  <si>
    <t>Уборка МОП, руб. (5,1%)</t>
  </si>
  <si>
    <t>Уборка МОП с учетом договора управления, руб. (6,4%)</t>
  </si>
  <si>
    <t>2015 год Обслуживание ОДПУ за 1 кв.м, руб.</t>
  </si>
  <si>
    <t>Доходы за обслуживание ОДПУ, руб.</t>
  </si>
  <si>
    <t>Обслуживание ОДПУ, руб. год</t>
  </si>
  <si>
    <t>Расходы на обслуживание ОДПУ за 1 кв.м, руб.</t>
  </si>
  <si>
    <t>2017 год Обслуживание ОДПУ, руб.</t>
  </si>
  <si>
    <t>ИП Лукьянова Обслуживание ОДПУ, руб.</t>
  </si>
  <si>
    <t>Субсчет по текущему ремонту</t>
  </si>
  <si>
    <t>Расходы по субсчету текущий ремонт за 1 кв.м, руб.</t>
  </si>
  <si>
    <t>Общая сумма по текущему ремонту, руб. в ГОД</t>
  </si>
  <si>
    <t>Субсчет по текущему ремонту 2016 год, руб.</t>
  </si>
  <si>
    <t>Субсчет по текущему ремонту 2016 год (возврат по ТБО), руб.</t>
  </si>
  <si>
    <t>Субсчет по текущему ремонту без ТБО 2016 год, руб.</t>
  </si>
  <si>
    <t>Субсчет по текущему ремонту с уменьшением на 1,00 руб.</t>
  </si>
  <si>
    <t>Расходы по субсчету кап.ремонт за 1 кв.м, руб.</t>
  </si>
  <si>
    <t>Субсчет по кап.ремонту, руб.</t>
  </si>
  <si>
    <t>сумма по кап.ремонту в год, руб.</t>
  </si>
  <si>
    <t>РАСХОДЫ ВСЕГО на 2015 год, руб.</t>
  </si>
  <si>
    <t>Расходы всего за 1 кв.м, руб.</t>
  </si>
  <si>
    <t>РАСХОДЫ ВСЕГО на 2017 год, руб.</t>
  </si>
  <si>
    <t>РАСХОДЫ ВСЕГО на 2017 год с учетом договора управления, руб.</t>
  </si>
  <si>
    <t>Прибыль (3%)</t>
  </si>
  <si>
    <t>Прибыль за 1 кв.м, руб.</t>
  </si>
  <si>
    <t>Прибыль в год, руб.</t>
  </si>
  <si>
    <t>Прибыль 2017 год (3%), руб.</t>
  </si>
  <si>
    <t>Прибыль  с учетом договора управления 2017 год (3%), руб.</t>
  </si>
  <si>
    <t>РАСХОДЫ ВСЕГО (с учетом прибыли) на 2015 год, руб.</t>
  </si>
  <si>
    <t>Расходы с учетом прибыли за 1 кв.м, руб.</t>
  </si>
  <si>
    <t>РАСХОДЫ ВСЕГО (с учетом прибыли) на 2017 год, руб.</t>
  </si>
  <si>
    <t>РАСХОДЫ ВСЕГО (с учетом прибыли) на 2017 год с учетом договора управления, руб.</t>
  </si>
  <si>
    <t>Налог (1%)</t>
  </si>
  <si>
    <t>Налог за 1 кв.м, руб.</t>
  </si>
  <si>
    <t>Налог в год, руб.</t>
  </si>
  <si>
    <t>Налог 2017 год (1%), руб.</t>
  </si>
  <si>
    <t>Налог 2017 год с учетом договора управления (1%), руб.</t>
  </si>
  <si>
    <t>Расходы за 1 кв.м, руб.</t>
  </si>
  <si>
    <t>РАСХОДЫ в год, руб.</t>
  </si>
  <si>
    <t>ВСЕГО с учетом прибыли и налога</t>
  </si>
  <si>
    <t>Прибыль (новая)</t>
  </si>
  <si>
    <t>Прибыль на 01.01.2014 (значения)</t>
  </si>
  <si>
    <t>Налог на 01.01.2014 (значения)</t>
  </si>
  <si>
    <t>Прибыль + налог, руб.</t>
  </si>
  <si>
    <t>Налог + прибыль</t>
  </si>
  <si>
    <t>Налог + прибыль за 1 кв.м</t>
  </si>
  <si>
    <t>Расходы ПО на 2014 год, руб.</t>
  </si>
  <si>
    <t>РАСХОДЫ  без кап.ремонта на 2015 год, руб.</t>
  </si>
  <si>
    <t>Рост 2017/2016</t>
  </si>
  <si>
    <t>Доходы всего на 2015 год, руб.</t>
  </si>
  <si>
    <t>Код дома</t>
  </si>
  <si>
    <t>100% расходы по договорам в месяц (без МКД, отказавшихся от уборки), руб.</t>
  </si>
  <si>
    <t>100% на 1 кв.м</t>
  </si>
  <si>
    <t>2014 год Цена НДС не облагается, руб.</t>
  </si>
  <si>
    <t>Доходы, руб. (гр.1*гр.29)</t>
  </si>
  <si>
    <t>2012 год Тариф  НДС не облагается, руб.</t>
  </si>
  <si>
    <t>Тариф с НДС, руб.</t>
  </si>
  <si>
    <t>Расходы по договору, руб. (гр.4+гр.6+гр.8+гр.10+гр.12+гр.14+гр.16+гр.18+гр.23+гр.26+гр.27+гр.28+гр.30)</t>
  </si>
  <si>
    <t>расходы без АВР, транспорта</t>
  </si>
  <si>
    <t>Расходы в договор подрядной организации</t>
  </si>
  <si>
    <t>РАЗНИЦА</t>
  </si>
  <si>
    <t>Расходы по договору, руб. с уч.изм. с 01.06.2013</t>
  </si>
  <si>
    <t>Расходы в договор подрядной организации с учетом индекса</t>
  </si>
  <si>
    <t>СУБСЧЕТ по расходам ПО старый</t>
  </si>
  <si>
    <t>РАСХОДЫ подрядной организации на 2015 год</t>
  </si>
  <si>
    <t>Расходы ПО на 2015 год, руб.</t>
  </si>
  <si>
    <t>Услуги подрядной организации</t>
  </si>
  <si>
    <t>РАСЧЕТ ПО на 2015 год</t>
  </si>
  <si>
    <t>Субсчет, руб. (гр.32-гр.33-гр.19-гр.20-гр.21-гр.23-гр.29-гр.30) + разница по теп.счетч.</t>
  </si>
  <si>
    <t>Дополнительные средства</t>
  </si>
  <si>
    <t>ОБЩИЙ СУБСЧЕТ ПО ТЕК.РЕМОНТУ</t>
  </si>
  <si>
    <t>% к общим доходам (гр.48/гр.45)</t>
  </si>
  <si>
    <t>Уборка придомовой территории</t>
  </si>
  <si>
    <t>Уборка МОП</t>
  </si>
  <si>
    <t>0,55руб. Плата за обслуж.счетчиков, руб.</t>
  </si>
  <si>
    <t>Доходы за обслуживание счетчиков, руб.</t>
  </si>
  <si>
    <t>Доходы всего (текущ. ремонт и обслуж.счет, уборка придом.терр и МОП), руб. (гр.45 + гр.50)</t>
  </si>
  <si>
    <t>Субсчет текущ.  Ремонт (гр.47/гр.51)</t>
  </si>
  <si>
    <t>Тариф, руб.</t>
  </si>
  <si>
    <t>Доходы по кап.ремонту, руб. (гр.1*гр.53)</t>
  </si>
  <si>
    <t>Налог, руб. (гр.36*1/99)</t>
  </si>
  <si>
    <t>Доходы от кап.ремонта без учета налога, руб. (гр.36-гр.37)</t>
  </si>
  <si>
    <t>Доходы всего (тек.рем. и кап.рем.), руб. (гр.45+гр.54)</t>
  </si>
  <si>
    <t>Субсчета кап.ремонт, % (гр.54/гр.55)</t>
  </si>
  <si>
    <t>Субсчета тек.ремонт, % (гр.47/гр.55)</t>
  </si>
  <si>
    <t>Доходы всего (тек.рем., кап.ремонт и обс.счет.) (гр.45+гр.50+гр.54)</t>
  </si>
  <si>
    <t>Субсчета кап.ремонт, % (гр.54/гр.58)</t>
  </si>
  <si>
    <t>Субсчета тек.ремонт, % (гр.47/гр.58)</t>
  </si>
  <si>
    <t>Расчет на 1 кв.м</t>
  </si>
  <si>
    <t>ТО</t>
  </si>
  <si>
    <t>ТО с учетом % роста</t>
  </si>
  <si>
    <t>% роста</t>
  </si>
  <si>
    <t>100% расходы по договорам в месяц с учетом договора управления (без МКД, отказавшихся от уборки), руб.</t>
  </si>
  <si>
    <t>Услуги подрядной организации с учетом индекса</t>
  </si>
  <si>
    <t>Техническое обслуживание и ремонт внутридомового газового оборудования и внутридомовых газовых сетей</t>
  </si>
  <si>
    <t>Услуги МУП Юрьев-Польский "Водоканал" (ТБО)</t>
  </si>
  <si>
    <t>Обслуживание ОДПУ</t>
  </si>
  <si>
    <t>Дератизация и дезинсекция</t>
  </si>
  <si>
    <t>окос придомовой территории</t>
  </si>
  <si>
    <t>Расходы по уборке придомовой территории</t>
  </si>
  <si>
    <t>Расходы по уборке МОП</t>
  </si>
  <si>
    <t>Коменданты, дежурные, уборщицы</t>
  </si>
  <si>
    <t>Дополнительные расходы по жилым домам</t>
  </si>
  <si>
    <t>ДОХОДЫ  ВСЕГО на 2015 год, руб.</t>
  </si>
  <si>
    <t>ДОХОДЫ  без уборки, дератиз., окоса, теп.счет., кап.ремонта на 2015 год, руб.</t>
  </si>
  <si>
    <t>Расходы  без уборки, дератиз., окоса, теп.счет., кап.ремонта на 2015 год, руб.</t>
  </si>
  <si>
    <t>ОБЯЗАТЕЛЬНЫЕ РАСХОДЫ ВСЕГО на 2015 год, руб.</t>
  </si>
  <si>
    <t>Плановый ремонтный фонд (текущий ремонт)</t>
  </si>
  <si>
    <t>Плановый ремонтный фонд (капитальный ремонт)</t>
  </si>
  <si>
    <t>Цена 2014 год, руб. за 1 кв.м</t>
  </si>
  <si>
    <t>Цена кап.ремонт, руб. за 1 кв.м</t>
  </si>
  <si>
    <t>Ставка уборка придомовой территории за 1 кв.м, руб.</t>
  </si>
  <si>
    <t>Ставка уборка МОП за 1 кв.м, руб.</t>
  </si>
  <si>
    <t>Рост</t>
  </si>
  <si>
    <t>Техническое обслуживание и ремонт внутридомового и внутриквартирного газового оборудования</t>
  </si>
  <si>
    <t>Уборка мест общего пользования</t>
  </si>
  <si>
    <t>Окос придомовой территории</t>
  </si>
  <si>
    <t>Вывоз твердых бытовых отходов</t>
  </si>
  <si>
    <t>Предлагаемые виды работ на 2015 год</t>
  </si>
  <si>
    <t>АВР</t>
  </si>
  <si>
    <t>ПО без АВР, теп.счет, тек.ремонт, доп.средства, прочие расходы</t>
  </si>
  <si>
    <t xml:space="preserve">Дополнительные расходы </t>
  </si>
  <si>
    <r>
      <rPr>
        <b/>
        <u/>
        <sz val="12"/>
        <rFont val="Times New Roman"/>
        <family val="1"/>
        <charset val="204"/>
      </rPr>
      <t>2016 год</t>
    </r>
    <r>
      <rPr>
        <sz val="12"/>
        <rFont val="Times New Roman"/>
        <family val="1"/>
        <charset val="204"/>
      </rPr>
      <t xml:space="preserve"> Услуги подрядной организации</t>
    </r>
  </si>
  <si>
    <r>
      <rPr>
        <b/>
        <u/>
        <sz val="12"/>
        <rFont val="Times New Roman"/>
        <family val="1"/>
        <charset val="204"/>
      </rPr>
      <t>2016 год</t>
    </r>
    <r>
      <rPr>
        <sz val="12"/>
        <rFont val="Times New Roman"/>
        <family val="1"/>
        <charset val="204"/>
      </rPr>
      <t xml:space="preserve"> Техническое обслуживание и ремонт внутридомового газового оборудования и внутридомовых газовых сетей</t>
    </r>
  </si>
  <si>
    <r>
      <rPr>
        <b/>
        <u/>
        <sz val="12"/>
        <rFont val="Times New Roman"/>
        <family val="1"/>
        <charset val="204"/>
      </rPr>
      <t xml:space="preserve">2016 год   </t>
    </r>
    <r>
      <rPr>
        <sz val="12"/>
        <rFont val="Times New Roman"/>
        <family val="1"/>
        <charset val="204"/>
      </rPr>
      <t xml:space="preserve"> Услуги МУП Юрьев-Польского района "Водоканал" (ТКО)</t>
    </r>
  </si>
  <si>
    <t>Услуги МУП Юрьев-Польского района "Водоканал" (ТКО)</t>
  </si>
  <si>
    <t>Обслуживание вентиляционных каналов</t>
  </si>
  <si>
    <t>Восстановление работоспособности коммуникационных сетей (домофонов)</t>
  </si>
  <si>
    <r>
      <rPr>
        <b/>
        <u/>
        <sz val="12"/>
        <rFont val="Times New Roman"/>
        <family val="1"/>
        <charset val="204"/>
      </rPr>
      <t>2016 год</t>
    </r>
    <r>
      <rPr>
        <sz val="12"/>
        <rFont val="Times New Roman"/>
        <family val="1"/>
        <charset val="204"/>
      </rPr>
      <t xml:space="preserve">  Расходы по уборке придомовой территории</t>
    </r>
  </si>
  <si>
    <r>
      <rPr>
        <b/>
        <u/>
        <sz val="12"/>
        <rFont val="Times New Roman"/>
        <family val="1"/>
        <charset val="204"/>
      </rPr>
      <t>2016 год</t>
    </r>
    <r>
      <rPr>
        <sz val="12"/>
        <rFont val="Times New Roman"/>
        <family val="1"/>
        <charset val="204"/>
      </rPr>
      <t xml:space="preserve"> Расходы по уборке МОП</t>
    </r>
  </si>
  <si>
    <r>
      <rPr>
        <b/>
        <u/>
        <sz val="12"/>
        <rFont val="Times New Roman"/>
        <family val="1"/>
        <charset val="204"/>
      </rPr>
      <t>2016 год</t>
    </r>
    <r>
      <rPr>
        <sz val="12"/>
        <rFont val="Times New Roman"/>
        <family val="1"/>
        <charset val="204"/>
      </rPr>
      <t xml:space="preserve">  Дополнительные расходы по жилым домам</t>
    </r>
  </si>
  <si>
    <t>Услуги МУП Юрьев-Польского района "Водоканал" (ТБО)</t>
  </si>
  <si>
    <t>2.1.</t>
  </si>
  <si>
    <t>2.2.</t>
  </si>
  <si>
    <t>2.2.1.</t>
  </si>
  <si>
    <t>2.2.2.</t>
  </si>
  <si>
    <t>2.3.</t>
  </si>
  <si>
    <t>2.3.1.</t>
  </si>
  <si>
    <t>2.3.2.</t>
  </si>
  <si>
    <t>2.3.3.</t>
  </si>
  <si>
    <t>2.3.4.</t>
  </si>
  <si>
    <t>2.3.5.</t>
  </si>
  <si>
    <t>п.2.2.28</t>
  </si>
  <si>
    <t>п.2.2.21</t>
  </si>
  <si>
    <t>п.2.2.26</t>
  </si>
  <si>
    <t>п.2.1.</t>
  </si>
  <si>
    <t>п.2.2.23</t>
  </si>
  <si>
    <t>п.2.2.24</t>
  </si>
  <si>
    <t>п.2</t>
  </si>
  <si>
    <t>3.1.</t>
  </si>
  <si>
    <t>3.2.</t>
  </si>
  <si>
    <t>3.3.</t>
  </si>
  <si>
    <t>3.4.</t>
  </si>
  <si>
    <t>3.5.</t>
  </si>
  <si>
    <t>3.6.</t>
  </si>
  <si>
    <t>3.7.</t>
  </si>
  <si>
    <t>3.8.</t>
  </si>
  <si>
    <t>2.2.3.</t>
  </si>
  <si>
    <t>2.2.4.</t>
  </si>
  <si>
    <t xml:space="preserve">с.Андреевское, ул.Гагарина  д. 1 </t>
  </si>
  <si>
    <t>ООО"Стройсервис"</t>
  </si>
  <si>
    <t>Без ЦО, с вдпр. и кан.</t>
  </si>
  <si>
    <t>косметический ремонт МОП</t>
  </si>
  <si>
    <t>погашение задолженности за ранее произведенные работы</t>
  </si>
  <si>
    <t>с.Андреевское, ул.Гагарина  д. 2</t>
  </si>
  <si>
    <t>погашение долга за работы произведенные ранее</t>
  </si>
  <si>
    <t xml:space="preserve">накопление денежных средств на косметический ремонт МОП, замена тамбурных дверей </t>
  </si>
  <si>
    <t>погашение задолженности за ранее произведенные работы, накопление денежных средств на ремонт системы электрооборудования</t>
  </si>
  <si>
    <t xml:space="preserve">с.Андреевское, ул.Гагарина  д. 3 </t>
  </si>
  <si>
    <t>ремонт полов в тамбуре, замена тамбурных дверей</t>
  </si>
  <si>
    <t>накопление денежных средств на ремонт системы электрооборудования</t>
  </si>
  <si>
    <t xml:space="preserve">с.Андреевское, ул.Гагарина  д. 4 </t>
  </si>
  <si>
    <t>накопление денежных средств на косметический ремонт МОП, ремонт полов в МОП</t>
  </si>
  <si>
    <t>накопление денежных средств на ремонт системы элетрооборудования</t>
  </si>
  <si>
    <t>с.Андреевское, ул.Гагарина  д. 6</t>
  </si>
  <si>
    <t>накопление денежных средств (ремонт отмостки)</t>
  </si>
  <si>
    <t xml:space="preserve">накопление денежных средств на ремонт отмостки </t>
  </si>
  <si>
    <t>накопление денежных средств на ремонт отмостки</t>
  </si>
  <si>
    <t>с.Андреевское, ул.Гагарина  д. 7</t>
  </si>
  <si>
    <t>ремонт системы электроснабжения, ремонт полов, замена тамбурных дверей</t>
  </si>
  <si>
    <t>погашение задолженности за ранее произведенные работы, накопление денежных средств на замену тамбурных дверей</t>
  </si>
  <si>
    <t>с.Небылое, ул.Октябрьская  д. 2</t>
  </si>
  <si>
    <t>накопление денежных средств на косметический ремонт МОП</t>
  </si>
  <si>
    <t>установка окон ПВХ в МОП, накопление денежных средств на косметический ремонт МОП</t>
  </si>
  <si>
    <t>с.Небылое, ул.Первомайская д. 73</t>
  </si>
  <si>
    <t>ремонт электрооборудования</t>
  </si>
  <si>
    <t>накопление денежных средств на ремонт цоколя и отмостки</t>
  </si>
  <si>
    <t>накопление денежных средств на ремонт отмостки и цоколя</t>
  </si>
  <si>
    <t>с.Небылое, ул.Первомайская д. 75</t>
  </si>
  <si>
    <t>погашение задолженности за ранее произведенные работы, накопление денежных средств на косметический ремонт МОП</t>
  </si>
  <si>
    <t>ремонт системы канализации, накопление денежных средств на установку окон ПВХ в МОП, установку металлических дверей</t>
  </si>
  <si>
    <t>с.Небылое, ул.Первомайская д. 77</t>
  </si>
  <si>
    <t>накопление денежных средств (ремонт электрооборудования)</t>
  </si>
  <si>
    <t>погашение задолженности за ранее произведенные работы, накопление денежных средств на косметический ремонт МОП, установку окон ПВХ в МОП</t>
  </si>
  <si>
    <t>с.Небылое, ул.Первомайская д. 79</t>
  </si>
  <si>
    <t>накопление денежных средств (установка окон ПВХ в МОП)</t>
  </si>
  <si>
    <t>заделка проемов над входами</t>
  </si>
  <si>
    <t>с.Небылое, ул.Первомайская д. 81</t>
  </si>
  <si>
    <t>ремонт отмостки</t>
  </si>
  <si>
    <t xml:space="preserve">ремонт отмостки  </t>
  </si>
  <si>
    <t>с.Небылое, ул.Первомайская д. 83</t>
  </si>
  <si>
    <t>ремонт системы электроснабжения</t>
  </si>
  <si>
    <t xml:space="preserve">установка окон ПВХ в МОП,  окраска цоколя  </t>
  </si>
  <si>
    <t>с.Небылое, ул.Первомайская д. 89</t>
  </si>
  <si>
    <t>с.Небылое, ул.Первомайская д. 95</t>
  </si>
  <si>
    <t>ремонт козырьков</t>
  </si>
  <si>
    <t>накопление денежных средств</t>
  </si>
  <si>
    <t>с.Небылое, ул.Школьная  д. 11</t>
  </si>
  <si>
    <t>накопление денежных средств (косметический ремонт МОП)</t>
  </si>
  <si>
    <t>установка окон ПВХ</t>
  </si>
  <si>
    <t>с.Небылое, ул.Школьная  д. 13</t>
  </si>
  <si>
    <t>ремонт электрооборудования, ремонт балконов</t>
  </si>
  <si>
    <t>ремонт балконов - 2 шт.</t>
  </si>
  <si>
    <t>с.Небылое, ул.Школьная  д. 15</t>
  </si>
  <si>
    <t>с.Небылое, ул.Школьная  д. 2</t>
  </si>
  <si>
    <t>погашение задолженности за ранее произведенные работы, накопление денежных средств на ремонт козырьков</t>
  </si>
  <si>
    <t>накопление денежных средств на ремонт козырьков</t>
  </si>
  <si>
    <t>с.Небылое, ул.Школьная  д. 4</t>
  </si>
  <si>
    <t>с.Небылое, ул.Школьная  д. 7</t>
  </si>
  <si>
    <t>накопление денежных средств на ремонт полов (плитка в МОП)</t>
  </si>
  <si>
    <t>накопление денежных средств на ремонт балкона</t>
  </si>
  <si>
    <t>ремонт системы электрооборудования</t>
  </si>
  <si>
    <t>с.Небылое, ул.Школьная  д. 9</t>
  </si>
  <si>
    <t>ремонт кирпичных труб</t>
  </si>
  <si>
    <t>с.Федоровское  д. 67</t>
  </si>
  <si>
    <t>т.р. ХВС</t>
  </si>
  <si>
    <t>уборка мусора в подвале, ремонт системы канализации</t>
  </si>
  <si>
    <t>с.Федоровское  д. 68</t>
  </si>
  <si>
    <t>установка металлических дверей</t>
  </si>
  <si>
    <t>погашение задолженности за ранее произведенные работы, накопление денежных средств на установку металлических дверей</t>
  </si>
  <si>
    <t>установка окон ПВХ в МОП</t>
  </si>
  <si>
    <t>с.Федоровское  д. 69</t>
  </si>
  <si>
    <t>погашение задолженности за ранее произведенные работы, косметический ремонт МОП</t>
  </si>
  <si>
    <t>асфальтирование входов в подъезды с водоотведением</t>
  </si>
  <si>
    <t>с.Федоровское  д. 70</t>
  </si>
  <si>
    <t>ремонт цоколя, накопление денежных средств на укладку плитки в МОП</t>
  </si>
  <si>
    <t>с.Федоровское  д. 72</t>
  </si>
  <si>
    <t>с.Федоровское  д. 73</t>
  </si>
  <si>
    <t>установка окон ПВХ в МОП - 1 шт.</t>
  </si>
  <si>
    <t>с.Федоровское  д. 74</t>
  </si>
  <si>
    <t>с.Федоровское  д. 75</t>
  </si>
  <si>
    <t>погашение задолженности за ранее произведенные работы, накопление денежных средств на ремонт системы канализации</t>
  </si>
  <si>
    <t>ремонт цоколя,  ремонт козырька</t>
  </si>
  <si>
    <t>с.Федоровское  д. 76</t>
  </si>
  <si>
    <t>погашение задолженности за ранее произведенные работы, ремонт кирпичной трубы - 1 шт.</t>
  </si>
  <si>
    <t>с.Федоровское  д. 77</t>
  </si>
  <si>
    <t>накопление денежных средств (ремонт козырьков)</t>
  </si>
  <si>
    <t>накопление денежных средств на ремонт швов</t>
  </si>
  <si>
    <t>с.Федоровское  д. 78</t>
  </si>
  <si>
    <t>с.Федоровское  д. 79</t>
  </si>
  <si>
    <t>ремонт балконов - 1 шт.</t>
  </si>
  <si>
    <t>с.Чеково, ул.VII   д. 1</t>
  </si>
  <si>
    <t>ремонт балконов</t>
  </si>
  <si>
    <t>ремонт швов</t>
  </si>
  <si>
    <t>с.Чеково, ул.VII   д. 2</t>
  </si>
  <si>
    <t>с.Чеково, ул.VII   д. 3</t>
  </si>
  <si>
    <t>погашение задолженности за ранее произведенные работы, накопление денежных средств на ремонт кирпичных труб</t>
  </si>
  <si>
    <t>ремонт кирпичных труб, накопление денежных средств на ремонт козырьков</t>
  </si>
  <si>
    <t>с.Шихобалово  д. 2</t>
  </si>
  <si>
    <t>ИП Воропаев</t>
  </si>
  <si>
    <t>С ЦО и г. водой</t>
  </si>
  <si>
    <t>погашение задолженности за ранее произведенные работы, поверка ОДПУ ГВС, ремонт кирпичных труб, накопление денежных средств на установку окон ПВХ в МОП</t>
  </si>
  <si>
    <t>с.Шихобалово  д. 3</t>
  </si>
  <si>
    <t>поверка ОДПУ ГВС, ремонт кирпичных труб</t>
  </si>
  <si>
    <t>с.Шихобалово  д. 4</t>
  </si>
  <si>
    <t>погашение задолженности за ранее произведенные работы, ремон цоколя</t>
  </si>
  <si>
    <t>поверка ОДПУ ГВС, накопление денежных средств на установку окон ПВХ в МОП</t>
  </si>
  <si>
    <t>с.Шихобалово  д. 5</t>
  </si>
  <si>
    <t>ремонт системы канализации</t>
  </si>
  <si>
    <t>поверка ОДПУ ГВС, накопление денежных средств на косметический ремонт МОП</t>
  </si>
  <si>
    <t>с.Шихобалово  д. 7</t>
  </si>
  <si>
    <t>накопление денежных средств (установка козырьков над балконами)</t>
  </si>
  <si>
    <t>поверка ОДПУ ГВС,  установка окон ПВХ в МОП, накопление денежных средств на установку окон ПВХ в подвале</t>
  </si>
  <si>
    <t>с.Шихобалово  д. 8</t>
  </si>
  <si>
    <t>поверка ОДПУ ГВС, спилка дерева</t>
  </si>
  <si>
    <t>с.Шихобалово  д. 9</t>
  </si>
  <si>
    <t xml:space="preserve"> поверка ОДПУ ГВС, установка окон ПВХ в МОП</t>
  </si>
  <si>
    <t>с.Шихобалово д. 1</t>
  </si>
  <si>
    <t>погашение задолженности за ранее произведенные работы, поверка ОДПУ ГВС</t>
  </si>
  <si>
    <t>с.Шихобалово д. 10</t>
  </si>
  <si>
    <t xml:space="preserve">погашение задолженности за ранее произведенные работы, ремонт системы электроснабжения </t>
  </si>
  <si>
    <t xml:space="preserve">погашение задолженности за ранее произведенные работы, поверка ОДПУ ГВС, накопление денежных средств на ремонт системы электрооборудования </t>
  </si>
  <si>
    <t>с.Шихобалово д. 11</t>
  </si>
  <si>
    <t>погашение задолженности за ранее произведенные работы, ремонт отмостки</t>
  </si>
  <si>
    <t>погашение задолженности за ранее произведенные работы, поверка ОДПУ ГВС, накопление денежных средств на установку окон ПВХ в МОП</t>
  </si>
  <si>
    <t>с.Шихобалово д. 12</t>
  </si>
  <si>
    <t>погашение задолженности за ранее произведенные работы, поверка ОДПУ ГВС, накопление денежных средств на ремонт отмостки</t>
  </si>
  <si>
    <t>с.Шихобалово д. 13</t>
  </si>
  <si>
    <t>поверка ОДПУ отопления, поверка ОДПУ ГВС, установка окон ПВХ в МОП, накопление денежных средств на косметический ремонт МОП</t>
  </si>
  <si>
    <t>с.Шихобалово д. 14</t>
  </si>
  <si>
    <t>погашение задолженности за ранее произведенные работы, поверка ОДПУ отопления, поверка ОДПУ ГВС</t>
  </si>
  <si>
    <t>с.Шихобалово д. 15</t>
  </si>
  <si>
    <t>ремонт электрооборудования, косметический ремонт МОП</t>
  </si>
  <si>
    <t>ремонт системы канализации, поверка ОДПУ отопления, поверка ОДПУ ГВС</t>
  </si>
  <si>
    <t>с.Шихобалово д. 16</t>
  </si>
  <si>
    <t>накопление денежных средств (ремонт канализации)</t>
  </si>
  <si>
    <t>Структура платы за содержание жилого помещения на 1 кв.м общей площади помещения по ООО "Управляющая компания № 3" с 01 января 2017 года по домам блокированной застройки</t>
  </si>
  <si>
    <t>б</t>
  </si>
  <si>
    <t>с.Андреевское, ул.Гагарина  д. 8</t>
  </si>
  <si>
    <t>ремонт фундамента</t>
  </si>
  <si>
    <t xml:space="preserve">накопление денежных средств </t>
  </si>
  <si>
    <t>с.Андреевское, ул.Юрьевская  д. 20</t>
  </si>
  <si>
    <t>с.Андреевское, ул.Юрьевская  д. 21</t>
  </si>
  <si>
    <t>накопление денежных средств (обшивка стен фасада)</t>
  </si>
  <si>
    <t>с.Федоровское  д. 71</t>
  </si>
  <si>
    <t>с.Федоровское  д. 99</t>
  </si>
  <si>
    <t>накопление денежных средств (ремонт крыши)</t>
  </si>
  <si>
    <t>накопление денежных средств на ремонт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</si>
</sst>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"/>
    <numFmt numFmtId="166" formatCode="0.0000"/>
    <numFmt numFmtId="167" formatCode="0.000"/>
    <numFmt numFmtId="168" formatCode="0.00000"/>
  </numFmts>
  <fonts count="10"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8" fillId="0" borderId="0"/>
    <xf numFmtId="2" fontId="9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3" fillId="0" borderId="0" xfId="0" applyFont="1"/>
    <xf numFmtId="0" fontId="4" fillId="2" borderId="0" xfId="0" applyFont="1" applyFill="1"/>
    <xf numFmtId="4" fontId="3" fillId="3" borderId="0" xfId="0" applyNumberFormat="1" applyFont="1" applyFill="1"/>
    <xf numFmtId="4" fontId="3" fillId="4" borderId="0" xfId="0" applyNumberFormat="1" applyFont="1" applyFill="1"/>
    <xf numFmtId="0" fontId="3" fillId="3" borderId="0" xfId="0" applyFont="1" applyFill="1"/>
    <xf numFmtId="38" fontId="3" fillId="0" borderId="0" xfId="1" applyNumberFormat="1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0" borderId="0" xfId="2" applyFont="1"/>
    <xf numFmtId="0" fontId="3" fillId="2" borderId="0" xfId="2" applyFont="1" applyFill="1"/>
    <xf numFmtId="4" fontId="3" fillId="3" borderId="0" xfId="2" applyNumberFormat="1" applyFont="1" applyFill="1"/>
    <xf numFmtId="4" fontId="3" fillId="4" borderId="0" xfId="2" applyNumberFormat="1" applyFont="1" applyFill="1"/>
    <xf numFmtId="0" fontId="3" fillId="3" borderId="0" xfId="2" applyFont="1" applyFill="1"/>
    <xf numFmtId="164" fontId="3" fillId="0" borderId="0" xfId="2" applyNumberFormat="1" applyFont="1"/>
    <xf numFmtId="0" fontId="4" fillId="0" borderId="0" xfId="2" applyFont="1"/>
    <xf numFmtId="0" fontId="3" fillId="0" borderId="0" xfId="2" applyFont="1" applyBorder="1"/>
    <xf numFmtId="0" fontId="3" fillId="0" borderId="0" xfId="2" applyFont="1" applyAlignment="1">
      <alignment wrapText="1"/>
    </xf>
    <xf numFmtId="0" fontId="4" fillId="0" borderId="0" xfId="2" applyFont="1" applyAlignment="1">
      <alignment horizontal="center"/>
    </xf>
    <xf numFmtId="0" fontId="3" fillId="0" borderId="1" xfId="0" applyFont="1" applyBorder="1"/>
    <xf numFmtId="0" fontId="3" fillId="5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4" fontId="4" fillId="3" borderId="0" xfId="0" applyNumberFormat="1" applyFont="1" applyFill="1" applyAlignment="1">
      <alignment horizontal="center"/>
    </xf>
    <xf numFmtId="0" fontId="4" fillId="0" borderId="0" xfId="0" applyFont="1"/>
    <xf numFmtId="0" fontId="4" fillId="0" borderId="7" xfId="0" applyFont="1" applyBorder="1" applyAlignment="1"/>
    <xf numFmtId="4" fontId="4" fillId="4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Border="1" applyAlignment="1"/>
    <xf numFmtId="0" fontId="4" fillId="3" borderId="0" xfId="0" applyFont="1" applyFill="1"/>
    <xf numFmtId="0" fontId="4" fillId="0" borderId="0" xfId="0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38" fontId="4" fillId="9" borderId="5" xfId="1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4" fontId="4" fillId="3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8" fontId="4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2" fontId="3" fillId="0" borderId="1" xfId="0" applyNumberFormat="1" applyFont="1" applyBorder="1"/>
    <xf numFmtId="165" fontId="3" fillId="0" borderId="1" xfId="0" applyNumberFormat="1" applyFont="1" applyBorder="1"/>
    <xf numFmtId="4" fontId="3" fillId="3" borderId="1" xfId="0" applyNumberFormat="1" applyFont="1" applyFill="1" applyBorder="1"/>
    <xf numFmtId="166" fontId="3" fillId="0" borderId="1" xfId="0" applyNumberFormat="1" applyFont="1" applyBorder="1"/>
    <xf numFmtId="167" fontId="3" fillId="0" borderId="1" xfId="0" applyNumberFormat="1" applyFont="1" applyBorder="1"/>
    <xf numFmtId="2" fontId="3" fillId="0" borderId="2" xfId="0" applyNumberFormat="1" applyFont="1" applyBorder="1"/>
    <xf numFmtId="4" fontId="3" fillId="4" borderId="1" xfId="0" applyNumberFormat="1" applyFont="1" applyFill="1" applyBorder="1"/>
    <xf numFmtId="2" fontId="3" fillId="3" borderId="1" xfId="0" applyNumberFormat="1" applyFont="1" applyFill="1" applyBorder="1"/>
    <xf numFmtId="168" fontId="3" fillId="0" borderId="1" xfId="0" applyNumberFormat="1" applyFont="1" applyBorder="1"/>
    <xf numFmtId="38" fontId="3" fillId="0" borderId="1" xfId="1" applyNumberFormat="1" applyFont="1" applyBorder="1"/>
    <xf numFmtId="2" fontId="7" fillId="0" borderId="1" xfId="0" applyNumberFormat="1" applyFont="1" applyBorder="1"/>
    <xf numFmtId="165" fontId="3" fillId="0" borderId="2" xfId="0" applyNumberFormat="1" applyFont="1" applyBorder="1"/>
    <xf numFmtId="165" fontId="3" fillId="0" borderId="0" xfId="0" applyNumberFormat="1" applyFont="1" applyBorder="1"/>
    <xf numFmtId="0" fontId="3" fillId="0" borderId="1" xfId="0" applyFont="1" applyBorder="1" applyAlignment="1">
      <alignment wrapText="1"/>
    </xf>
    <xf numFmtId="2" fontId="3" fillId="0" borderId="0" xfId="0" applyNumberFormat="1" applyFont="1"/>
    <xf numFmtId="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/>
    <xf numFmtId="2" fontId="3" fillId="8" borderId="1" xfId="0" applyNumberFormat="1" applyFont="1" applyFill="1" applyBorder="1"/>
    <xf numFmtId="1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2" fontId="4" fillId="0" borderId="2" xfId="0" applyNumberFormat="1" applyFont="1" applyBorder="1"/>
    <xf numFmtId="2" fontId="3" fillId="2" borderId="1" xfId="0" applyNumberFormat="1" applyFont="1" applyFill="1" applyBorder="1"/>
    <xf numFmtId="0" fontId="0" fillId="2" borderId="0" xfId="0" applyFill="1"/>
    <xf numFmtId="4" fontId="0" fillId="3" borderId="0" xfId="0" applyNumberFormat="1" applyFill="1"/>
    <xf numFmtId="4" fontId="0" fillId="4" borderId="0" xfId="0" applyNumberFormat="1" applyFill="1"/>
    <xf numFmtId="0" fontId="0" fillId="3" borderId="0" xfId="0" applyFill="1"/>
    <xf numFmtId="38" fontId="0" fillId="0" borderId="0" xfId="1" applyNumberFormat="1" applyFont="1"/>
    <xf numFmtId="0" fontId="0" fillId="0" borderId="0" xfId="0" applyBorder="1"/>
    <xf numFmtId="0" fontId="0" fillId="0" borderId="0" xfId="0" applyAlignment="1">
      <alignment wrapText="1"/>
    </xf>
    <xf numFmtId="0" fontId="3" fillId="2" borderId="0" xfId="0" applyFont="1" applyFill="1" applyBorder="1"/>
    <xf numFmtId="2" fontId="3" fillId="0" borderId="0" xfId="0" applyNumberFormat="1" applyFont="1" applyBorder="1"/>
    <xf numFmtId="4" fontId="3" fillId="3" borderId="0" xfId="0" applyNumberFormat="1" applyFont="1" applyFill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4" fontId="3" fillId="4" borderId="0" xfId="0" applyNumberFormat="1" applyFont="1" applyFill="1" applyBorder="1"/>
    <xf numFmtId="2" fontId="3" fillId="3" borderId="0" xfId="0" applyNumberFormat="1" applyFont="1" applyFill="1" applyBorder="1"/>
    <xf numFmtId="168" fontId="3" fillId="0" borderId="0" xfId="0" applyNumberFormat="1" applyFont="1" applyBorder="1"/>
    <xf numFmtId="38" fontId="3" fillId="0" borderId="0" xfId="1" applyNumberFormat="1" applyFont="1" applyBorder="1"/>
    <xf numFmtId="2" fontId="7" fillId="0" borderId="0" xfId="0" applyNumberFormat="1" applyFont="1" applyBorder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4" fontId="3" fillId="0" borderId="0" xfId="0" applyNumberFormat="1" applyFont="1" applyBorder="1"/>
    <xf numFmtId="0" fontId="4" fillId="0" borderId="0" xfId="2" applyFont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1">
    <cellStyle name="Excel Built-in Normal" xfId="3"/>
    <cellStyle name="Excel Built-in Normal 1" xfId="4"/>
    <cellStyle name="Обычный" xfId="0" builtinId="0"/>
    <cellStyle name="Обычный 2" xfId="5"/>
    <cellStyle name="Обычный 3" xfId="2"/>
    <cellStyle name="Обычный 4" xfId="6"/>
    <cellStyle name="Обычный 5" xfId="7"/>
    <cellStyle name="Обычный 6" xfId="8"/>
    <cellStyle name="Обычный 7" xfId="9"/>
    <cellStyle name="Обычный 8" xfId="1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X14"/>
  <sheetViews>
    <sheetView tabSelected="1" zoomScale="61" zoomScaleNormal="61" workbookViewId="0">
      <pane xSplit="716" ySplit="9" topLeftCell="AAO10" activePane="bottomRight" state="frozen"/>
      <selection pane="topRight" activeCell="AAO1" sqref="AAO1"/>
      <selection pane="bottomLeft" activeCell="A10" sqref="A10"/>
      <selection pane="bottomRight" activeCell="AAO5" sqref="AAO5"/>
    </sheetView>
  </sheetViews>
  <sheetFormatPr defaultRowHeight="12.75"/>
  <cols>
    <col min="1" max="1" width="5.5703125" customWidth="1"/>
    <col min="2" max="2" width="3.85546875" hidden="1" customWidth="1"/>
    <col min="3" max="3" width="42.140625" style="114" customWidth="1"/>
    <col min="4" max="4" width="5.7109375" hidden="1" customWidth="1"/>
    <col min="5" max="5" width="8.42578125" hidden="1" customWidth="1"/>
    <col min="6" max="6" width="6.5703125" hidden="1" customWidth="1"/>
    <col min="7" max="7" width="7" hidden="1" customWidth="1"/>
    <col min="8" max="8" width="7.140625" hidden="1" customWidth="1"/>
    <col min="9" max="9" width="14.7109375" hidden="1" customWidth="1"/>
    <col min="10" max="10" width="13.7109375" hidden="1" customWidth="1"/>
    <col min="11" max="11" width="12.140625" hidden="1" customWidth="1"/>
    <col min="12" max="12" width="8.42578125" hidden="1" customWidth="1"/>
    <col min="13" max="13" width="7.5703125" hidden="1" customWidth="1"/>
    <col min="14" max="14" width="9.28515625" hidden="1" customWidth="1"/>
    <col min="15" max="15" width="6.7109375" hidden="1" customWidth="1"/>
    <col min="16" max="16" width="7.5703125" hidden="1" customWidth="1"/>
    <col min="17" max="17" width="7.85546875" hidden="1" customWidth="1"/>
    <col min="18" max="18" width="6.42578125" hidden="1" customWidth="1"/>
    <col min="19" max="19" width="14.140625" hidden="1" customWidth="1"/>
    <col min="20" max="20" width="9.28515625" hidden="1" customWidth="1"/>
    <col min="21" max="21" width="9" hidden="1" customWidth="1"/>
    <col min="22" max="22" width="11.42578125" hidden="1" customWidth="1"/>
    <col min="23" max="23" width="8.5703125" hidden="1" customWidth="1"/>
    <col min="24" max="24" width="8.140625" hidden="1" customWidth="1"/>
    <col min="25" max="25" width="10.7109375" hidden="1" customWidth="1"/>
    <col min="26" max="26" width="9.7109375" hidden="1" customWidth="1"/>
    <col min="27" max="27" width="3.7109375" hidden="1" customWidth="1"/>
    <col min="28" max="28" width="10" hidden="1" customWidth="1"/>
    <col min="29" max="29" width="12.85546875" hidden="1" customWidth="1"/>
    <col min="30" max="30" width="8.42578125" hidden="1" customWidth="1"/>
    <col min="31" max="31" width="6.5703125" style="115" hidden="1" customWidth="1"/>
    <col min="32" max="32" width="11.7109375" hidden="1" customWidth="1"/>
    <col min="33" max="33" width="12.85546875" hidden="1" customWidth="1"/>
    <col min="34" max="34" width="15.28515625" hidden="1" customWidth="1"/>
    <col min="35" max="35" width="13.7109375" hidden="1" customWidth="1"/>
    <col min="36" max="37" width="12.5703125" hidden="1" customWidth="1"/>
    <col min="38" max="38" width="12.42578125" hidden="1" customWidth="1"/>
    <col min="39" max="39" width="16.140625" hidden="1" customWidth="1"/>
    <col min="40" max="40" width="10" hidden="1" customWidth="1"/>
    <col min="41" max="41" width="9.7109375" hidden="1" customWidth="1"/>
    <col min="42" max="42" width="12.7109375" hidden="1" customWidth="1"/>
    <col min="43" max="43" width="13" hidden="1" customWidth="1"/>
    <col min="44" max="44" width="12.42578125" hidden="1" customWidth="1"/>
    <col min="45" max="45" width="13" hidden="1" customWidth="1"/>
    <col min="46" max="46" width="7.85546875" hidden="1" customWidth="1"/>
    <col min="47" max="47" width="12" hidden="1" customWidth="1"/>
    <col min="48" max="48" width="10.7109375" hidden="1" customWidth="1"/>
    <col min="49" max="49" width="11.28515625" hidden="1" customWidth="1"/>
    <col min="50" max="50" width="14.42578125" hidden="1" customWidth="1"/>
    <col min="51" max="51" width="10.7109375" hidden="1" customWidth="1"/>
    <col min="52" max="52" width="11.140625" hidden="1" customWidth="1"/>
    <col min="53" max="55" width="15.42578125" hidden="1" customWidth="1"/>
    <col min="56" max="56" width="17.5703125" style="115" hidden="1" customWidth="1"/>
    <col min="57" max="57" width="14.42578125" hidden="1" customWidth="1"/>
    <col min="58" max="58" width="10.28515625" hidden="1" customWidth="1"/>
    <col min="59" max="59" width="11.28515625" hidden="1" customWidth="1"/>
    <col min="60" max="60" width="17" hidden="1" customWidth="1"/>
    <col min="61" max="61" width="10.5703125" hidden="1" customWidth="1"/>
    <col min="62" max="62" width="11.140625" hidden="1" customWidth="1"/>
    <col min="63" max="63" width="19.7109375" hidden="1" customWidth="1"/>
    <col min="64" max="64" width="10" hidden="1" customWidth="1"/>
    <col min="65" max="65" width="14.5703125" hidden="1" customWidth="1"/>
    <col min="66" max="66" width="17.140625" hidden="1" customWidth="1"/>
    <col min="67" max="67" width="16.28515625" hidden="1" customWidth="1"/>
    <col min="68" max="68" width="10.140625" hidden="1" customWidth="1"/>
    <col min="69" max="69" width="15" hidden="1" customWidth="1"/>
    <col min="70" max="71" width="16.140625" hidden="1" customWidth="1"/>
    <col min="72" max="72" width="10.140625" hidden="1" customWidth="1"/>
    <col min="73" max="73" width="9.85546875" hidden="1" customWidth="1"/>
    <col min="74" max="74" width="8" hidden="1" customWidth="1"/>
    <col min="75" max="76" width="4.42578125" hidden="1" customWidth="1"/>
    <col min="77" max="77" width="5.5703125" hidden="1" customWidth="1"/>
    <col min="78" max="78" width="4.5703125" hidden="1" customWidth="1"/>
    <col min="79" max="79" width="6.5703125" hidden="1" customWidth="1"/>
    <col min="80" max="80" width="10.28515625" hidden="1" customWidth="1"/>
    <col min="81" max="81" width="5" hidden="1" customWidth="1"/>
    <col min="82" max="82" width="6.140625" hidden="1" customWidth="1"/>
    <col min="83" max="83" width="6.7109375" hidden="1" customWidth="1"/>
    <col min="84" max="84" width="10.5703125" hidden="1" customWidth="1"/>
    <col min="85" max="85" width="7" hidden="1" customWidth="1"/>
    <col min="86" max="86" width="7.7109375" hidden="1" customWidth="1"/>
    <col min="87" max="87" width="16.5703125" hidden="1" customWidth="1"/>
    <col min="88" max="88" width="2" hidden="1" customWidth="1"/>
    <col min="89" max="89" width="13.5703125" hidden="1" customWidth="1"/>
    <col min="90" max="90" width="5.7109375" hidden="1" customWidth="1"/>
    <col min="91" max="91" width="5.85546875" hidden="1" customWidth="1"/>
    <col min="92" max="92" width="12.5703125" hidden="1" customWidth="1"/>
    <col min="93" max="93" width="11.140625" hidden="1" customWidth="1"/>
    <col min="94" max="94" width="6.28515625" hidden="1" customWidth="1"/>
    <col min="95" max="95" width="6.7109375" hidden="1" customWidth="1"/>
    <col min="96" max="96" width="9.140625" hidden="1" customWidth="1"/>
    <col min="97" max="97" width="6.7109375" hidden="1" customWidth="1"/>
    <col min="98" max="98" width="5.28515625" hidden="1" customWidth="1"/>
    <col min="99" max="99" width="7.5703125" hidden="1" customWidth="1"/>
    <col min="100" max="100" width="10.85546875" hidden="1" customWidth="1"/>
    <col min="101" max="101" width="15" hidden="1" customWidth="1"/>
    <col min="102" max="102" width="17.140625" hidden="1" customWidth="1"/>
    <col min="103" max="103" width="0.42578125" hidden="1" customWidth="1"/>
    <col min="104" max="104" width="13.5703125" hidden="1" customWidth="1"/>
    <col min="105" max="105" width="6.140625" hidden="1" customWidth="1"/>
    <col min="106" max="106" width="10.85546875" hidden="1" customWidth="1"/>
    <col min="107" max="107" width="12" hidden="1" customWidth="1"/>
    <col min="108" max="108" width="11.28515625" hidden="1" customWidth="1"/>
    <col min="109" max="110" width="6.5703125" hidden="1" customWidth="1"/>
    <col min="111" max="111" width="6" hidden="1" customWidth="1"/>
    <col min="112" max="112" width="11.140625" hidden="1" customWidth="1"/>
    <col min="113" max="113" width="5.28515625" hidden="1" customWidth="1"/>
    <col min="114" max="114" width="6.28515625" hidden="1" customWidth="1"/>
    <col min="115" max="115" width="6.5703125" hidden="1" customWidth="1"/>
    <col min="116" max="116" width="0.28515625" hidden="1" customWidth="1"/>
    <col min="117" max="117" width="14.28515625" hidden="1" customWidth="1"/>
    <col min="118" max="118" width="19.140625" hidden="1" customWidth="1"/>
    <col min="119" max="119" width="2.42578125" hidden="1" customWidth="1"/>
    <col min="120" max="120" width="13.5703125" hidden="1" customWidth="1"/>
    <col min="121" max="121" width="5.42578125" hidden="1" customWidth="1"/>
    <col min="122" max="122" width="9.5703125" hidden="1" customWidth="1"/>
    <col min="123" max="123" width="4.42578125" hidden="1" customWidth="1"/>
    <col min="124" max="124" width="3.7109375" hidden="1" customWidth="1"/>
    <col min="125" max="125" width="4.140625" hidden="1" customWidth="1"/>
    <col min="126" max="126" width="0.140625" hidden="1" customWidth="1"/>
    <col min="127" max="127" width="5.28515625" hidden="1" customWidth="1"/>
    <col min="128" max="128" width="4.140625" hidden="1" customWidth="1"/>
    <col min="129" max="129" width="7.5703125" hidden="1" customWidth="1"/>
    <col min="130" max="130" width="7.28515625" hidden="1" customWidth="1"/>
    <col min="131" max="131" width="13.140625" hidden="1" customWidth="1"/>
    <col min="132" max="132" width="20.28515625" hidden="1" customWidth="1"/>
    <col min="133" max="133" width="0.28515625" hidden="1" customWidth="1"/>
    <col min="134" max="134" width="13.5703125" hidden="1" customWidth="1"/>
    <col min="135" max="135" width="4.42578125" hidden="1" customWidth="1"/>
    <col min="136" max="136" width="7.42578125" hidden="1" customWidth="1"/>
    <col min="137" max="137" width="13.28515625" hidden="1" customWidth="1"/>
    <col min="138" max="138" width="10.85546875" hidden="1" customWidth="1"/>
    <col min="139" max="139" width="5.5703125" hidden="1" customWidth="1"/>
    <col min="140" max="140" width="5.7109375" hidden="1" customWidth="1"/>
    <col min="141" max="141" width="11.42578125" hidden="1" customWidth="1"/>
    <col min="142" max="142" width="6.5703125" hidden="1" customWidth="1"/>
    <col min="143" max="143" width="7.5703125" hidden="1" customWidth="1"/>
    <col min="144" max="144" width="6.42578125" hidden="1" customWidth="1"/>
    <col min="145" max="145" width="9" hidden="1" customWidth="1"/>
    <col min="146" max="146" width="7" hidden="1" customWidth="1"/>
    <col min="147" max="147" width="20.5703125" hidden="1" customWidth="1"/>
    <col min="148" max="148" width="1.85546875" hidden="1" customWidth="1"/>
    <col min="149" max="149" width="13.5703125" hidden="1" customWidth="1"/>
    <col min="150" max="150" width="5.7109375" hidden="1" customWidth="1"/>
    <col min="151" max="151" width="9.28515625" hidden="1" customWidth="1"/>
    <col min="152" max="152" width="13.7109375" hidden="1" customWidth="1"/>
    <col min="153" max="153" width="12.5703125" hidden="1" customWidth="1"/>
    <col min="154" max="154" width="6.28515625" hidden="1" customWidth="1"/>
    <col min="155" max="155" width="5.28515625" hidden="1" customWidth="1"/>
    <col min="156" max="156" width="10.85546875" hidden="1" customWidth="1"/>
    <col min="157" max="157" width="7" hidden="1" customWidth="1"/>
    <col min="158" max="158" width="6.5703125" hidden="1" customWidth="1"/>
    <col min="159" max="159" width="7.42578125" hidden="1" customWidth="1"/>
    <col min="160" max="160" width="10.140625" hidden="1" customWidth="1"/>
    <col min="161" max="161" width="14.42578125" hidden="1" customWidth="1"/>
    <col min="162" max="162" width="19.5703125" hidden="1" customWidth="1"/>
    <col min="163" max="163" width="2.42578125" hidden="1" customWidth="1"/>
    <col min="164" max="164" width="13.5703125" hidden="1" customWidth="1"/>
    <col min="165" max="165" width="5.5703125" hidden="1" customWidth="1"/>
    <col min="166" max="166" width="9.5703125" hidden="1" customWidth="1"/>
    <col min="167" max="167" width="9.28515625" hidden="1" customWidth="1"/>
    <col min="168" max="168" width="11.7109375" hidden="1" customWidth="1"/>
    <col min="169" max="169" width="5.5703125" hidden="1" customWidth="1"/>
    <col min="170" max="170" width="8.42578125" hidden="1" customWidth="1"/>
    <col min="171" max="171" width="8" hidden="1" customWidth="1"/>
    <col min="172" max="173" width="6.140625" hidden="1" customWidth="1"/>
    <col min="174" max="174" width="8" hidden="1" customWidth="1"/>
    <col min="175" max="175" width="9.140625" hidden="1" customWidth="1"/>
    <col min="176" max="176" width="8.28515625" hidden="1" customWidth="1"/>
    <col min="177" max="177" width="10.7109375" hidden="1" customWidth="1"/>
    <col min="178" max="178" width="19.7109375" hidden="1" customWidth="1"/>
    <col min="179" max="179" width="19.85546875" hidden="1" customWidth="1"/>
    <col min="180" max="180" width="1.7109375" hidden="1" customWidth="1"/>
    <col min="181" max="181" width="13.5703125" hidden="1" customWidth="1"/>
    <col min="182" max="182" width="6.28515625" hidden="1" customWidth="1"/>
    <col min="183" max="183" width="9.5703125" hidden="1" customWidth="1"/>
    <col min="184" max="184" width="11.28515625" hidden="1" customWidth="1"/>
    <col min="185" max="185" width="9.7109375" hidden="1" customWidth="1"/>
    <col min="186" max="186" width="6.85546875" hidden="1" customWidth="1"/>
    <col min="187" max="187" width="4.5703125" hidden="1" customWidth="1"/>
    <col min="188" max="188" width="6" hidden="1" customWidth="1"/>
    <col min="189" max="189" width="6.7109375" hidden="1" customWidth="1"/>
    <col min="190" max="190" width="5.42578125" hidden="1" customWidth="1"/>
    <col min="191" max="191" width="0.140625" hidden="1" customWidth="1"/>
    <col min="192" max="192" width="14.85546875" hidden="1" customWidth="1"/>
    <col min="193" max="193" width="19" hidden="1" customWidth="1"/>
    <col min="194" max="194" width="3.42578125" hidden="1" customWidth="1"/>
    <col min="195" max="195" width="13.5703125" hidden="1" customWidth="1"/>
    <col min="196" max="196" width="4.85546875" hidden="1" customWidth="1"/>
    <col min="197" max="198" width="15.85546875" hidden="1" customWidth="1"/>
    <col min="199" max="199" width="12.85546875" hidden="1" customWidth="1"/>
    <col min="200" max="200" width="15.85546875" hidden="1" customWidth="1"/>
    <col min="201" max="201" width="14.42578125" hidden="1" customWidth="1"/>
    <col min="202" max="202" width="8.42578125" hidden="1" customWidth="1"/>
    <col min="203" max="203" width="17.42578125" hidden="1" customWidth="1"/>
    <col min="204" max="204" width="13.7109375" hidden="1" customWidth="1"/>
    <col min="205" max="205" width="14.7109375" hidden="1" customWidth="1"/>
    <col min="206" max="206" width="9.7109375" hidden="1" customWidth="1"/>
    <col min="207" max="207" width="17" hidden="1" customWidth="1"/>
    <col min="208" max="208" width="15" hidden="1" customWidth="1"/>
    <col min="209" max="209" width="15.28515625" hidden="1" customWidth="1"/>
    <col min="210" max="210" width="9.42578125" hidden="1" customWidth="1"/>
    <col min="211" max="211" width="17" hidden="1" customWidth="1"/>
    <col min="212" max="212" width="15" hidden="1" customWidth="1"/>
    <col min="213" max="213" width="15.28515625" hidden="1" customWidth="1"/>
    <col min="214" max="216" width="9.42578125" hidden="1" customWidth="1"/>
    <col min="217" max="217" width="4.85546875" hidden="1" customWidth="1"/>
    <col min="218" max="218" width="4.42578125" hidden="1" customWidth="1"/>
    <col min="219" max="219" width="6.5703125" hidden="1" customWidth="1"/>
    <col min="220" max="220" width="11.140625" hidden="1" customWidth="1"/>
    <col min="221" max="221" width="7.7109375" hidden="1" customWidth="1"/>
    <col min="222" max="222" width="15.42578125" hidden="1" customWidth="1"/>
    <col min="223" max="223" width="8" hidden="1" customWidth="1"/>
    <col min="224" max="224" width="15.42578125" hidden="1" customWidth="1"/>
    <col min="225" max="225" width="8" hidden="1" customWidth="1"/>
    <col min="226" max="226" width="14.85546875" hidden="1" customWidth="1"/>
    <col min="227" max="227" width="5.7109375" hidden="1" customWidth="1"/>
    <col min="228" max="228" width="11" hidden="1" customWidth="1"/>
    <col min="229" max="229" width="11.5703125" hidden="1" customWidth="1"/>
    <col min="230" max="230" width="4.85546875" hidden="1" customWidth="1"/>
    <col min="231" max="231" width="7.28515625" hidden="1" customWidth="1"/>
    <col min="232" max="232" width="12.85546875" hidden="1" customWidth="1"/>
    <col min="233" max="233" width="4.28515625" hidden="1" customWidth="1"/>
    <col min="234" max="234" width="12.7109375" hidden="1" customWidth="1"/>
    <col min="235" max="235" width="8" hidden="1" customWidth="1"/>
    <col min="236" max="236" width="8.85546875" hidden="1" customWidth="1"/>
    <col min="237" max="237" width="8.5703125" hidden="1" customWidth="1"/>
    <col min="238" max="238" width="7.42578125" hidden="1" customWidth="1"/>
    <col min="239" max="239" width="16.7109375" hidden="1" customWidth="1"/>
    <col min="240" max="240" width="7.85546875" hidden="1" customWidth="1"/>
    <col min="241" max="241" width="15.140625" style="115" hidden="1" customWidth="1"/>
    <col min="242" max="243" width="7.85546875" hidden="1" customWidth="1"/>
    <col min="244" max="244" width="22.5703125" hidden="1" customWidth="1"/>
    <col min="245" max="245" width="7.85546875" hidden="1" customWidth="1"/>
    <col min="246" max="246" width="25.7109375" hidden="1" customWidth="1"/>
    <col min="247" max="247" width="7.7109375" hidden="1" customWidth="1"/>
    <col min="248" max="248" width="25.42578125" hidden="1" customWidth="1"/>
    <col min="249" max="249" width="7.7109375" hidden="1" customWidth="1"/>
    <col min="250" max="250" width="4.5703125" hidden="1" customWidth="1"/>
    <col min="251" max="251" width="3.42578125" hidden="1" customWidth="1"/>
    <col min="252" max="252" width="4.140625" hidden="1" customWidth="1"/>
    <col min="253" max="253" width="4.7109375" hidden="1" customWidth="1"/>
    <col min="254" max="254" width="4.28515625" hidden="1" customWidth="1"/>
    <col min="255" max="255" width="4.5703125" hidden="1" customWidth="1"/>
    <col min="256" max="256" width="3.140625" hidden="1" customWidth="1"/>
    <col min="257" max="257" width="3.7109375" hidden="1" customWidth="1"/>
    <col min="258" max="258" width="5.42578125" hidden="1" customWidth="1"/>
    <col min="259" max="259" width="4.140625" hidden="1" customWidth="1"/>
    <col min="260" max="260" width="4.28515625" hidden="1" customWidth="1"/>
    <col min="261" max="261" width="5.5703125" hidden="1" customWidth="1"/>
    <col min="262" max="262" width="23" hidden="1" customWidth="1"/>
    <col min="263" max="263" width="0.140625" hidden="1" customWidth="1"/>
    <col min="264" max="264" width="16.140625" hidden="1" customWidth="1"/>
    <col min="265" max="265" width="3.85546875" hidden="1" customWidth="1"/>
    <col min="266" max="266" width="9.85546875" hidden="1" customWidth="1"/>
    <col min="267" max="268" width="10.85546875" hidden="1" customWidth="1"/>
    <col min="269" max="269" width="5.85546875" hidden="1" customWidth="1"/>
    <col min="270" max="270" width="6.42578125" hidden="1" customWidth="1"/>
    <col min="271" max="271" width="8.28515625" hidden="1" customWidth="1"/>
    <col min="272" max="272" width="9.42578125" hidden="1" customWidth="1"/>
    <col min="273" max="273" width="8.28515625" hidden="1" customWidth="1"/>
    <col min="274" max="274" width="8.42578125" hidden="1" customWidth="1"/>
    <col min="275" max="275" width="15.85546875" hidden="1" customWidth="1"/>
    <col min="276" max="276" width="19.85546875" hidden="1" customWidth="1"/>
    <col min="277" max="277" width="1.140625" hidden="1" customWidth="1"/>
    <col min="278" max="278" width="16.140625" hidden="1" customWidth="1"/>
    <col min="279" max="279" width="3.85546875" hidden="1" customWidth="1"/>
    <col min="280" max="280" width="6.5703125" hidden="1" customWidth="1"/>
    <col min="281" max="281" width="7.7109375" hidden="1" customWidth="1"/>
    <col min="282" max="282" width="12.85546875" hidden="1" customWidth="1"/>
    <col min="283" max="283" width="20" hidden="1" customWidth="1"/>
    <col min="284" max="284" width="1.28515625" hidden="1" customWidth="1"/>
    <col min="285" max="285" width="16.140625" hidden="1" customWidth="1"/>
    <col min="286" max="286" width="2.42578125" hidden="1" customWidth="1"/>
    <col min="287" max="287" width="8.5703125" hidden="1" customWidth="1"/>
    <col min="288" max="288" width="10.42578125" hidden="1" customWidth="1"/>
    <col min="289" max="289" width="10.85546875" hidden="1" customWidth="1"/>
    <col min="290" max="290" width="3.7109375" hidden="1" customWidth="1"/>
    <col min="291" max="291" width="5.85546875" hidden="1" customWidth="1"/>
    <col min="292" max="292" width="6.5703125" hidden="1" customWidth="1"/>
    <col min="293" max="293" width="4.42578125" hidden="1" customWidth="1"/>
    <col min="294" max="294" width="7.85546875" hidden="1" customWidth="1"/>
    <col min="295" max="295" width="5.42578125" hidden="1" customWidth="1"/>
    <col min="296" max="296" width="4.7109375" hidden="1" customWidth="1"/>
    <col min="297" max="297" width="2.85546875" hidden="1" customWidth="1"/>
    <col min="298" max="298" width="7" hidden="1" customWidth="1"/>
    <col min="299" max="299" width="10.28515625" hidden="1" customWidth="1"/>
    <col min="300" max="300" width="11.28515625" hidden="1" customWidth="1"/>
    <col min="301" max="301" width="9.140625" hidden="1" customWidth="1"/>
    <col min="302" max="302" width="6" hidden="1" customWidth="1"/>
    <col min="303" max="303" width="8.85546875" hidden="1" customWidth="1"/>
    <col min="304" max="304" width="7.85546875" hidden="1" customWidth="1"/>
    <col min="305" max="305" width="7.5703125" hidden="1" customWidth="1"/>
    <col min="306" max="306" width="10.7109375" hidden="1" customWidth="1"/>
    <col min="307" max="307" width="10.85546875" hidden="1" customWidth="1"/>
    <col min="308" max="308" width="18.140625" hidden="1" customWidth="1"/>
    <col min="309" max="309" width="25.140625" hidden="1" customWidth="1"/>
    <col min="310" max="310" width="3.28515625" hidden="1" customWidth="1"/>
    <col min="311" max="311" width="16.140625" hidden="1" customWidth="1"/>
    <col min="312" max="312" width="4.85546875" hidden="1" customWidth="1"/>
    <col min="313" max="313" width="2.140625" hidden="1" customWidth="1"/>
    <col min="314" max="314" width="0.28515625" hidden="1" customWidth="1"/>
    <col min="315" max="315" width="7" style="115" hidden="1" customWidth="1"/>
    <col min="316" max="316" width="6.5703125" style="115" hidden="1" customWidth="1"/>
    <col min="317" max="317" width="12.42578125" style="115" hidden="1" customWidth="1"/>
    <col min="318" max="318" width="8.28515625" hidden="1" customWidth="1"/>
    <col min="319" max="319" width="18.85546875" hidden="1" customWidth="1"/>
    <col min="320" max="320" width="7.28515625" hidden="1" customWidth="1"/>
    <col min="321" max="321" width="6.7109375" hidden="1" customWidth="1"/>
    <col min="322" max="322" width="22.140625" hidden="1" customWidth="1"/>
    <col min="323" max="323" width="9" hidden="1" customWidth="1"/>
    <col min="324" max="324" width="16.140625" hidden="1" customWidth="1"/>
    <col min="325" max="325" width="8.85546875" hidden="1" customWidth="1"/>
    <col min="326" max="326" width="17.28515625" hidden="1" customWidth="1"/>
    <col min="327" max="327" width="14.42578125" hidden="1" customWidth="1"/>
    <col min="328" max="328" width="16.28515625" hidden="1" customWidth="1"/>
    <col min="329" max="329" width="19.85546875" hidden="1" customWidth="1"/>
    <col min="330" max="330" width="6.28515625" hidden="1" customWidth="1"/>
    <col min="331" max="331" width="13.5703125" hidden="1" customWidth="1"/>
    <col min="332" max="332" width="10.140625" hidden="1" customWidth="1"/>
    <col min="333" max="333" width="7" hidden="1" customWidth="1"/>
    <col min="334" max="334" width="13.42578125" hidden="1" customWidth="1"/>
    <col min="335" max="335" width="16.28515625" hidden="1" customWidth="1"/>
    <col min="336" max="336" width="8.5703125" hidden="1" customWidth="1"/>
    <col min="337" max="337" width="10.7109375" hidden="1" customWidth="1"/>
    <col min="338" max="338" width="13.42578125" hidden="1" customWidth="1"/>
    <col min="339" max="339" width="6" hidden="1" customWidth="1"/>
    <col min="340" max="340" width="13.7109375" hidden="1" customWidth="1"/>
    <col min="341" max="341" width="16.140625" hidden="1" customWidth="1"/>
    <col min="342" max="342" width="10.28515625" hidden="1" customWidth="1"/>
    <col min="343" max="343" width="9.28515625" hidden="1" customWidth="1"/>
    <col min="344" max="344" width="10.7109375" hidden="1" customWidth="1"/>
    <col min="345" max="345" width="8.85546875" hidden="1" customWidth="1"/>
    <col min="346" max="346" width="13.7109375" hidden="1" customWidth="1"/>
    <col min="347" max="347" width="16.5703125" hidden="1" customWidth="1"/>
    <col min="348" max="348" width="12.28515625" hidden="1" customWidth="1"/>
    <col min="349" max="349" width="9.5703125" hidden="1" customWidth="1"/>
    <col min="350" max="350" width="12.7109375" hidden="1" customWidth="1"/>
    <col min="351" max="351" width="8.85546875" hidden="1" customWidth="1"/>
    <col min="352" max="352" width="13.85546875" hidden="1" customWidth="1"/>
    <col min="353" max="353" width="16.5703125" hidden="1" customWidth="1"/>
    <col min="354" max="354" width="13.85546875" hidden="1" customWidth="1"/>
    <col min="355" max="355" width="10.28515625" hidden="1" customWidth="1"/>
    <col min="356" max="356" width="13.85546875" hidden="1" customWidth="1"/>
    <col min="357" max="357" width="9.7109375" hidden="1" customWidth="1"/>
    <col min="358" max="358" width="9.28515625" hidden="1" customWidth="1"/>
    <col min="359" max="359" width="14.42578125" hidden="1" customWidth="1"/>
    <col min="360" max="360" width="12.5703125" style="115" hidden="1" customWidth="1"/>
    <col min="361" max="361" width="9.28515625" hidden="1" customWidth="1"/>
    <col min="362" max="362" width="16.85546875" hidden="1" customWidth="1"/>
    <col min="363" max="363" width="2.5703125" hidden="1" customWidth="1"/>
    <col min="364" max="364" width="2.42578125" hidden="1" customWidth="1"/>
    <col min="365" max="365" width="2" hidden="1" customWidth="1"/>
    <col min="366" max="366" width="13.42578125" hidden="1" customWidth="1"/>
    <col min="367" max="367" width="12.5703125" style="115" hidden="1" customWidth="1"/>
    <col min="368" max="368" width="10.42578125" hidden="1" customWidth="1"/>
    <col min="369" max="369" width="14.5703125" hidden="1" customWidth="1"/>
    <col min="370" max="370" width="3.85546875" hidden="1" customWidth="1"/>
    <col min="371" max="371" width="2.140625" hidden="1" customWidth="1"/>
    <col min="372" max="373" width="1.85546875" hidden="1" customWidth="1"/>
    <col min="374" max="374" width="15.7109375" hidden="1" customWidth="1"/>
    <col min="375" max="375" width="14.42578125" style="115" hidden="1" customWidth="1"/>
    <col min="376" max="376" width="9.85546875" hidden="1" customWidth="1"/>
    <col min="377" max="377" width="15.7109375" hidden="1" customWidth="1"/>
    <col min="378" max="378" width="1.42578125" hidden="1" customWidth="1"/>
    <col min="379" max="379" width="1.28515625" hidden="1" customWidth="1"/>
    <col min="380" max="380" width="1.7109375" hidden="1" customWidth="1"/>
    <col min="381" max="381" width="5.140625" hidden="1" customWidth="1"/>
    <col min="382" max="382" width="5.5703125" style="115" hidden="1" customWidth="1"/>
    <col min="383" max="383" width="7.28515625" hidden="1" customWidth="1"/>
    <col min="384" max="384" width="15" hidden="1" customWidth="1"/>
    <col min="385" max="385" width="7" hidden="1" customWidth="1"/>
    <col min="386" max="386" width="3.5703125" hidden="1" customWidth="1"/>
    <col min="387" max="387" width="3.140625" hidden="1" customWidth="1"/>
    <col min="388" max="388" width="4" hidden="1" customWidth="1"/>
    <col min="389" max="389" width="3" style="115" hidden="1" customWidth="1"/>
    <col min="390" max="390" width="13.85546875" hidden="1" customWidth="1"/>
    <col min="391" max="391" width="17.42578125" hidden="1" customWidth="1"/>
    <col min="392" max="392" width="13.85546875" hidden="1" customWidth="1"/>
    <col min="393" max="393" width="14.5703125" hidden="1" customWidth="1"/>
    <col min="394" max="394" width="2.85546875" hidden="1" customWidth="1"/>
    <col min="395" max="395" width="4.42578125" hidden="1" customWidth="1"/>
    <col min="396" max="396" width="5.28515625" style="115" hidden="1" customWidth="1"/>
    <col min="397" max="397" width="5.85546875" style="116" hidden="1" customWidth="1"/>
    <col min="398" max="398" width="6" style="116" hidden="1" customWidth="1"/>
    <col min="399" max="399" width="19.140625" hidden="1" customWidth="1"/>
    <col min="400" max="400" width="11.42578125" hidden="1" customWidth="1"/>
    <col min="401" max="401" width="5.42578125" hidden="1" customWidth="1"/>
    <col min="402" max="402" width="8.5703125" hidden="1" customWidth="1"/>
    <col min="403" max="403" width="6.140625" hidden="1" customWidth="1"/>
    <col min="404" max="404" width="16.7109375" hidden="1" customWidth="1"/>
    <col min="405" max="405" width="11.42578125" hidden="1" customWidth="1"/>
    <col min="406" max="406" width="14.85546875" hidden="1" customWidth="1"/>
    <col min="407" max="407" width="6.85546875" hidden="1" customWidth="1"/>
    <col min="408" max="409" width="11.42578125" hidden="1" customWidth="1"/>
    <col min="410" max="410" width="16" hidden="1" customWidth="1"/>
    <col min="411" max="411" width="8.140625" hidden="1" customWidth="1"/>
    <col min="412" max="412" width="14.140625" style="117" hidden="1" customWidth="1"/>
    <col min="413" max="413" width="16" hidden="1" customWidth="1"/>
    <col min="414" max="415" width="11.42578125" hidden="1" customWidth="1"/>
    <col min="416" max="416" width="2" hidden="1" customWidth="1"/>
    <col min="417" max="417" width="12.28515625" hidden="1" customWidth="1"/>
    <col min="418" max="418" width="7" hidden="1" customWidth="1"/>
    <col min="419" max="419" width="3.28515625" style="115" hidden="1" customWidth="1"/>
    <col min="420" max="420" width="12.28515625" hidden="1" customWidth="1"/>
    <col min="421" max="421" width="17.85546875" hidden="1" customWidth="1"/>
    <col min="422" max="422" width="16.85546875" hidden="1" customWidth="1"/>
    <col min="423" max="423" width="10.5703125" hidden="1" customWidth="1"/>
    <col min="424" max="424" width="16.85546875" hidden="1" customWidth="1"/>
    <col min="425" max="425" width="10.5703125" hidden="1" customWidth="1"/>
    <col min="426" max="426" width="16.85546875" hidden="1" customWidth="1"/>
    <col min="427" max="427" width="10.5703125" hidden="1" customWidth="1"/>
    <col min="428" max="428" width="1" hidden="1" customWidth="1"/>
    <col min="429" max="429" width="15.140625" hidden="1" customWidth="1"/>
    <col min="430" max="430" width="10.28515625" hidden="1" customWidth="1"/>
    <col min="431" max="431" width="6.7109375" style="115" hidden="1" customWidth="1"/>
    <col min="432" max="432" width="14.5703125" hidden="1" customWidth="1"/>
    <col min="433" max="433" width="10.28515625" hidden="1" customWidth="1"/>
    <col min="434" max="434" width="14.7109375" hidden="1" customWidth="1"/>
    <col min="435" max="435" width="10.28515625" hidden="1" customWidth="1"/>
    <col min="436" max="436" width="16.85546875" hidden="1" customWidth="1"/>
    <col min="437" max="437" width="10.5703125" hidden="1" customWidth="1"/>
    <col min="438" max="438" width="16.85546875" hidden="1" customWidth="1"/>
    <col min="439" max="439" width="10.5703125" hidden="1" customWidth="1"/>
    <col min="440" max="440" width="16.85546875" hidden="1" customWidth="1"/>
    <col min="441" max="441" width="9.5703125" hidden="1" customWidth="1"/>
    <col min="442" max="442" width="13.7109375" hidden="1" customWidth="1"/>
    <col min="443" max="443" width="10.5703125" hidden="1" customWidth="1"/>
    <col min="444" max="444" width="13.42578125" style="115" hidden="1" customWidth="1"/>
    <col min="445" max="445" width="13.28515625" hidden="1" customWidth="1"/>
    <col min="446" max="446" width="10.5703125" hidden="1" customWidth="1"/>
    <col min="447" max="447" width="13.140625" hidden="1" customWidth="1"/>
    <col min="448" max="448" width="9.42578125" hidden="1" customWidth="1"/>
    <col min="449" max="449" width="16.85546875" hidden="1" customWidth="1"/>
    <col min="450" max="450" width="10.140625" hidden="1" customWidth="1"/>
    <col min="451" max="451" width="14.85546875" style="115" hidden="1" customWidth="1"/>
    <col min="452" max="452" width="7.85546875" hidden="1" customWidth="1"/>
    <col min="453" max="453" width="6.85546875" hidden="1" customWidth="1"/>
    <col min="454" max="454" width="7.85546875" hidden="1" customWidth="1"/>
    <col min="455" max="455" width="7.7109375" hidden="1" customWidth="1"/>
    <col min="456" max="458" width="6.5703125" hidden="1" customWidth="1"/>
    <col min="459" max="459" width="6.7109375" style="117" hidden="1" customWidth="1"/>
    <col min="460" max="460" width="7" style="117" hidden="1" customWidth="1"/>
    <col min="461" max="461" width="6.28515625" style="117" hidden="1" customWidth="1"/>
    <col min="462" max="462" width="5.5703125" hidden="1" customWidth="1"/>
    <col min="463" max="463" width="5.7109375" hidden="1" customWidth="1"/>
    <col min="464" max="464" width="5.85546875" hidden="1" customWidth="1"/>
    <col min="465" max="465" width="6.140625" hidden="1" customWidth="1"/>
    <col min="466" max="466" width="5.7109375" hidden="1" customWidth="1"/>
    <col min="467" max="468" width="5.85546875" hidden="1" customWidth="1"/>
    <col min="469" max="469" width="5.7109375" hidden="1" customWidth="1"/>
    <col min="470" max="470" width="5.28515625" hidden="1" customWidth="1"/>
    <col min="471" max="471" width="13" style="117" hidden="1" customWidth="1"/>
    <col min="472" max="472" width="8.42578125" style="117" hidden="1" customWidth="1"/>
    <col min="473" max="473" width="15.5703125" hidden="1" customWidth="1"/>
    <col min="474" max="474" width="6.7109375" hidden="1" customWidth="1"/>
    <col min="475" max="475" width="7.28515625" hidden="1" customWidth="1"/>
    <col min="476" max="476" width="17" hidden="1" customWidth="1"/>
    <col min="477" max="480" width="8.140625" hidden="1" customWidth="1"/>
    <col min="481" max="481" width="9.5703125" hidden="1" customWidth="1"/>
    <col min="482" max="482" width="9" hidden="1" customWidth="1"/>
    <col min="483" max="483" width="7.140625" hidden="1" customWidth="1"/>
    <col min="484" max="484" width="4.5703125" hidden="1" customWidth="1"/>
    <col min="485" max="485" width="10" style="118" hidden="1" customWidth="1"/>
    <col min="486" max="486" width="16.140625" hidden="1" customWidth="1"/>
    <col min="487" max="487" width="8" hidden="1" customWidth="1"/>
    <col min="488" max="488" width="11.85546875" hidden="1" customWidth="1"/>
    <col min="489" max="489" width="13.140625" hidden="1" customWidth="1"/>
    <col min="490" max="490" width="5.28515625" hidden="1" customWidth="1"/>
    <col min="491" max="491" width="4.28515625" hidden="1" customWidth="1"/>
    <col min="492" max="492" width="3.7109375" hidden="1" customWidth="1"/>
    <col min="493" max="493" width="5.7109375" hidden="1" customWidth="1"/>
    <col min="494" max="494" width="3" hidden="1" customWidth="1"/>
    <col min="495" max="495" width="6.5703125" hidden="1" customWidth="1"/>
    <col min="496" max="496" width="3" hidden="1" customWidth="1"/>
    <col min="497" max="497" width="12" hidden="1" customWidth="1"/>
    <col min="498" max="498" width="5.5703125" hidden="1" customWidth="1"/>
    <col min="499" max="499" width="12.85546875" hidden="1" customWidth="1"/>
    <col min="500" max="500" width="14.140625" hidden="1" customWidth="1"/>
    <col min="501" max="501" width="8.5703125" hidden="1" customWidth="1"/>
    <col min="502" max="502" width="12.85546875" hidden="1" customWidth="1"/>
    <col min="503" max="505" width="14.140625" hidden="1" customWidth="1"/>
    <col min="506" max="506" width="8.5703125" hidden="1" customWidth="1"/>
    <col min="507" max="507" width="8.140625" hidden="1" customWidth="1"/>
    <col min="508" max="508" width="7.140625" hidden="1" customWidth="1"/>
    <col min="509" max="509" width="7.85546875" hidden="1" customWidth="1"/>
    <col min="510" max="510" width="15.140625" hidden="1" customWidth="1"/>
    <col min="511" max="511" width="17" hidden="1" customWidth="1"/>
    <col min="512" max="512" width="6.85546875" hidden="1" customWidth="1"/>
    <col min="513" max="513" width="7.85546875" hidden="1" customWidth="1"/>
    <col min="514" max="514" width="13.140625" hidden="1" customWidth="1"/>
    <col min="515" max="515" width="11.42578125" hidden="1" customWidth="1"/>
    <col min="516" max="516" width="5.28515625" hidden="1" customWidth="1"/>
    <col min="517" max="517" width="4.28515625" hidden="1" customWidth="1"/>
    <col min="518" max="518" width="13.85546875" hidden="1" customWidth="1"/>
    <col min="519" max="520" width="4.28515625" hidden="1" customWidth="1"/>
    <col min="521" max="521" width="3.7109375" hidden="1" customWidth="1"/>
    <col min="522" max="522" width="4.85546875" hidden="1" customWidth="1"/>
    <col min="523" max="523" width="14.28515625" hidden="1" customWidth="1"/>
    <col min="524" max="524" width="14.5703125" hidden="1" customWidth="1"/>
    <col min="525" max="526" width="15.42578125" hidden="1" customWidth="1"/>
    <col min="527" max="527" width="11.5703125" hidden="1" customWidth="1"/>
    <col min="528" max="528" width="6.85546875" hidden="1" customWidth="1"/>
    <col min="529" max="529" width="9.5703125" hidden="1" customWidth="1"/>
    <col min="530" max="530" width="6.5703125" hidden="1" customWidth="1"/>
    <col min="531" max="531" width="9.85546875" hidden="1" customWidth="1"/>
    <col min="532" max="532" width="9.28515625" hidden="1" customWidth="1"/>
    <col min="533" max="533" width="10.7109375" hidden="1" customWidth="1"/>
    <col min="534" max="534" width="13.28515625" hidden="1" customWidth="1"/>
    <col min="535" max="535" width="11" hidden="1" customWidth="1"/>
    <col min="536" max="536" width="7.5703125" hidden="1" customWidth="1"/>
    <col min="537" max="537" width="5.5703125" hidden="1" customWidth="1"/>
    <col min="538" max="538" width="11" hidden="1" customWidth="1"/>
    <col min="539" max="539" width="1.140625" hidden="1" customWidth="1"/>
    <col min="540" max="540" width="12" hidden="1" customWidth="1"/>
    <col min="541" max="541" width="8.85546875" hidden="1" customWidth="1"/>
    <col min="542" max="542" width="11.7109375" hidden="1" customWidth="1"/>
    <col min="543" max="543" width="3.28515625" hidden="1" customWidth="1"/>
    <col min="544" max="544" width="4.7109375" hidden="1" customWidth="1"/>
    <col min="545" max="545" width="3.85546875" hidden="1" customWidth="1"/>
    <col min="546" max="546" width="4.5703125" hidden="1" customWidth="1"/>
    <col min="547" max="547" width="5.85546875" hidden="1" customWidth="1"/>
    <col min="548" max="548" width="9.5703125" hidden="1" customWidth="1"/>
    <col min="549" max="549" width="13.42578125" hidden="1" customWidth="1"/>
    <col min="550" max="550" width="10.5703125" hidden="1" customWidth="1"/>
    <col min="551" max="551" width="12.28515625" hidden="1" customWidth="1"/>
    <col min="552" max="552" width="13.85546875" hidden="1" customWidth="1"/>
    <col min="553" max="553" width="10.7109375" hidden="1" customWidth="1"/>
    <col min="554" max="554" width="11.140625" hidden="1" customWidth="1"/>
    <col min="555" max="555" width="14" hidden="1" customWidth="1"/>
    <col min="556" max="556" width="11.85546875" hidden="1" customWidth="1"/>
    <col min="557" max="557" width="12.140625" hidden="1" customWidth="1"/>
    <col min="558" max="558" width="9.140625" hidden="1" customWidth="1"/>
    <col min="559" max="559" width="2.28515625" hidden="1" customWidth="1"/>
    <col min="560" max="561" width="8.28515625" hidden="1" customWidth="1"/>
    <col min="562" max="562" width="6.85546875" hidden="1" customWidth="1"/>
    <col min="563" max="563" width="6.140625" hidden="1" customWidth="1"/>
    <col min="564" max="564" width="17.42578125" hidden="1" customWidth="1"/>
    <col min="565" max="566" width="16.140625" hidden="1" customWidth="1"/>
    <col min="567" max="567" width="19" hidden="1" customWidth="1"/>
    <col min="568" max="568" width="17.42578125" hidden="1" customWidth="1"/>
    <col min="569" max="569" width="11.7109375" hidden="1" customWidth="1"/>
    <col min="570" max="570" width="10.42578125" hidden="1" customWidth="1"/>
    <col min="571" max="571" width="6.140625" hidden="1" customWidth="1"/>
    <col min="572" max="572" width="7.7109375" hidden="1" customWidth="1"/>
    <col min="573" max="573" width="11.42578125" hidden="1" customWidth="1"/>
    <col min="574" max="574" width="10.42578125" hidden="1" customWidth="1"/>
    <col min="575" max="575" width="8.140625" hidden="1" customWidth="1"/>
    <col min="576" max="576" width="8.7109375" hidden="1" customWidth="1"/>
    <col min="577" max="577" width="7.5703125" hidden="1" customWidth="1"/>
    <col min="578" max="578" width="9.85546875" hidden="1" customWidth="1"/>
    <col min="579" max="579" width="9.42578125" hidden="1" customWidth="1"/>
    <col min="580" max="580" width="7.42578125" hidden="1" customWidth="1"/>
    <col min="581" max="581" width="6.7109375" hidden="1" customWidth="1"/>
    <col min="582" max="584" width="8.5703125" hidden="1" customWidth="1"/>
    <col min="585" max="585" width="8.42578125" hidden="1" customWidth="1"/>
    <col min="586" max="586" width="8.7109375" hidden="1" customWidth="1"/>
    <col min="587" max="587" width="7.5703125" hidden="1" customWidth="1"/>
    <col min="588" max="589" width="8.7109375" style="117" hidden="1" customWidth="1"/>
    <col min="590" max="590" width="6.5703125" hidden="1" customWidth="1"/>
    <col min="591" max="591" width="7.140625" hidden="1" customWidth="1"/>
    <col min="592" max="592" width="7.42578125" hidden="1" customWidth="1"/>
    <col min="593" max="593" width="5.42578125" hidden="1" customWidth="1"/>
    <col min="594" max="594" width="4.140625" hidden="1" customWidth="1"/>
    <col min="595" max="595" width="9.85546875" hidden="1" customWidth="1"/>
    <col min="596" max="596" width="16.28515625" hidden="1" customWidth="1"/>
    <col min="597" max="597" width="5.140625" hidden="1" customWidth="1"/>
    <col min="598" max="598" width="3.28515625" hidden="1" customWidth="1"/>
    <col min="599" max="599" width="9.5703125" hidden="1" customWidth="1"/>
    <col min="600" max="600" width="11.85546875" hidden="1" customWidth="1"/>
    <col min="601" max="601" width="16.5703125" hidden="1" customWidth="1"/>
    <col min="602" max="602" width="5.7109375" hidden="1" customWidth="1"/>
    <col min="603" max="603" width="6.85546875" hidden="1" customWidth="1"/>
    <col min="604" max="604" width="5.7109375" hidden="1" customWidth="1"/>
    <col min="605" max="608" width="16.85546875" hidden="1" customWidth="1"/>
    <col min="609" max="609" width="13.7109375" style="117" hidden="1" customWidth="1"/>
    <col min="610" max="610" width="12.7109375" style="117" hidden="1" customWidth="1"/>
    <col min="611" max="611" width="13.85546875" hidden="1" customWidth="1"/>
    <col min="612" max="612" width="10.5703125" hidden="1" customWidth="1"/>
    <col min="613" max="613" width="10.7109375" hidden="1" customWidth="1"/>
    <col min="614" max="614" width="10.7109375" style="117" hidden="1" customWidth="1"/>
    <col min="615" max="617" width="10.7109375" hidden="1" customWidth="1"/>
    <col min="618" max="620" width="16.85546875" hidden="1" customWidth="1"/>
    <col min="621" max="621" width="6.28515625" hidden="1" customWidth="1"/>
    <col min="622" max="622" width="4.85546875" hidden="1" customWidth="1"/>
    <col min="623" max="623" width="3" hidden="1" customWidth="1"/>
    <col min="624" max="624" width="7.28515625" hidden="1" customWidth="1"/>
    <col min="625" max="625" width="7.42578125" hidden="1" customWidth="1"/>
    <col min="626" max="626" width="7.85546875" hidden="1" customWidth="1"/>
    <col min="627" max="627" width="6.28515625" hidden="1" customWidth="1"/>
    <col min="628" max="628" width="5.5703125" hidden="1" customWidth="1"/>
    <col min="629" max="629" width="6.5703125" hidden="1" customWidth="1"/>
    <col min="630" max="630" width="8.140625" hidden="1" customWidth="1"/>
    <col min="631" max="631" width="7.28515625" hidden="1" customWidth="1"/>
    <col min="632" max="632" width="9.140625" hidden="1" customWidth="1"/>
    <col min="633" max="633" width="8.28515625" hidden="1" customWidth="1"/>
    <col min="634" max="636" width="9.140625" hidden="1" customWidth="1"/>
    <col min="637" max="637" width="7.85546875" hidden="1" customWidth="1"/>
    <col min="638" max="642" width="9.140625" hidden="1" customWidth="1"/>
    <col min="643" max="644" width="13" hidden="1" customWidth="1"/>
    <col min="645" max="645" width="19.28515625" hidden="1" customWidth="1"/>
    <col min="646" max="646" width="13.85546875" hidden="1" customWidth="1"/>
    <col min="647" max="647" width="15.28515625" hidden="1" customWidth="1"/>
    <col min="648" max="649" width="13.85546875" hidden="1" customWidth="1"/>
    <col min="650" max="650" width="12.5703125" hidden="1" customWidth="1"/>
    <col min="651" max="651" width="13.140625" hidden="1" customWidth="1"/>
    <col min="652" max="652" width="12.5703125" hidden="1" customWidth="1"/>
    <col min="653" max="653" width="12.28515625" hidden="1" customWidth="1"/>
    <col min="654" max="654" width="9.7109375" hidden="1" customWidth="1"/>
    <col min="655" max="657" width="12.28515625" hidden="1" customWidth="1"/>
    <col min="658" max="658" width="4.7109375" hidden="1" customWidth="1"/>
    <col min="659" max="659" width="16.85546875" hidden="1" customWidth="1"/>
    <col min="660" max="660" width="5" hidden="1" customWidth="1"/>
    <col min="661" max="661" width="11.140625" hidden="1" customWidth="1"/>
    <col min="662" max="662" width="17.28515625" hidden="1" customWidth="1"/>
    <col min="663" max="663" width="13.28515625" hidden="1" customWidth="1"/>
    <col min="664" max="664" width="11.5703125" hidden="1" customWidth="1"/>
    <col min="665" max="665" width="13" hidden="1" customWidth="1"/>
    <col min="666" max="666" width="12.85546875" hidden="1" customWidth="1"/>
    <col min="667" max="667" width="11.140625" hidden="1" customWidth="1"/>
    <col min="668" max="668" width="13.28515625" hidden="1" customWidth="1"/>
    <col min="669" max="674" width="9.140625" hidden="1" customWidth="1"/>
    <col min="675" max="675" width="16" hidden="1" customWidth="1"/>
    <col min="676" max="676" width="17.42578125" hidden="1" customWidth="1"/>
    <col min="677" max="677" width="17" hidden="1" customWidth="1"/>
    <col min="678" max="678" width="10.7109375" hidden="1" customWidth="1"/>
    <col min="679" max="679" width="12.85546875" hidden="1" customWidth="1"/>
    <col min="680" max="680" width="11.85546875" hidden="1" customWidth="1"/>
    <col min="681" max="681" width="12" hidden="1" customWidth="1"/>
    <col min="682" max="682" width="11.85546875" hidden="1" customWidth="1"/>
    <col min="683" max="683" width="11.7109375" hidden="1" customWidth="1"/>
    <col min="684" max="684" width="14.140625" hidden="1" customWidth="1"/>
    <col min="685" max="686" width="10.5703125" hidden="1" customWidth="1"/>
    <col min="687" max="687" width="10.140625" hidden="1" customWidth="1"/>
    <col min="688" max="688" width="0.28515625" hidden="1" customWidth="1"/>
    <col min="689" max="689" width="10.42578125" hidden="1" customWidth="1"/>
    <col min="690" max="690" width="11.5703125" hidden="1" customWidth="1"/>
    <col min="691" max="691" width="10.28515625" hidden="1" customWidth="1"/>
    <col min="692" max="692" width="11.5703125" hidden="1" customWidth="1"/>
    <col min="693" max="693" width="8.7109375" hidden="1" customWidth="1"/>
    <col min="694" max="694" width="7.5703125" hidden="1" customWidth="1"/>
    <col min="695" max="696" width="8.7109375" style="117" hidden="1" customWidth="1"/>
    <col min="697" max="697" width="6.5703125" hidden="1" customWidth="1"/>
    <col min="698" max="698" width="7.140625" hidden="1" customWidth="1"/>
    <col min="699" max="699" width="7.42578125" hidden="1" customWidth="1"/>
    <col min="700" max="700" width="5.42578125" hidden="1" customWidth="1"/>
    <col min="701" max="701" width="4.140625" hidden="1" customWidth="1"/>
    <col min="702" max="702" width="12.7109375" hidden="1" customWidth="1"/>
    <col min="703" max="703" width="18.85546875" hidden="1" customWidth="1"/>
    <col min="704" max="704" width="5.140625" hidden="1" customWidth="1"/>
    <col min="705" max="705" width="3.28515625" hidden="1" customWidth="1"/>
    <col min="706" max="706" width="9.5703125" hidden="1" customWidth="1"/>
    <col min="707" max="707" width="10.28515625" hidden="1" customWidth="1"/>
    <col min="708" max="708" width="10.5703125" hidden="1" customWidth="1"/>
    <col min="709" max="709" width="9.42578125" hidden="1" customWidth="1"/>
    <col min="710" max="710" width="17.7109375" hidden="1" customWidth="1"/>
    <col min="711" max="711" width="13.42578125" hidden="1" customWidth="1"/>
    <col min="712" max="712" width="11.140625" hidden="1" customWidth="1"/>
    <col min="713" max="713" width="7.28515625" hidden="1" customWidth="1"/>
    <col min="714" max="714" width="8.28515625" hidden="1" customWidth="1"/>
    <col min="715" max="715" width="7.85546875" hidden="1" customWidth="1"/>
    <col min="716" max="716" width="8.85546875" style="119" hidden="1" customWidth="1"/>
    <col min="717" max="717" width="19.7109375" customWidth="1"/>
    <col min="718" max="718" width="13.140625" hidden="1" customWidth="1"/>
    <col min="719" max="719" width="18.5703125" customWidth="1"/>
    <col min="720" max="720" width="12.85546875" hidden="1" customWidth="1"/>
    <col min="721" max="721" width="23.85546875" customWidth="1"/>
    <col min="722" max="722" width="8.28515625" hidden="1" customWidth="1"/>
    <col min="723" max="723" width="12.85546875" hidden="1" customWidth="1"/>
    <col min="724" max="724" width="18.7109375" customWidth="1"/>
    <col min="725" max="725" width="10.5703125" hidden="1" customWidth="1"/>
    <col min="726" max="726" width="20" customWidth="1"/>
    <col min="727" max="727" width="12.42578125" hidden="1" customWidth="1"/>
    <col min="728" max="728" width="19.28515625" hidden="1" customWidth="1"/>
    <col min="729" max="729" width="11.85546875" hidden="1" customWidth="1"/>
    <col min="730" max="730" width="6.5703125" hidden="1" customWidth="1"/>
    <col min="731" max="731" width="13.7109375" hidden="1" customWidth="1"/>
    <col min="732" max="732" width="16.28515625" hidden="1" customWidth="1"/>
    <col min="733" max="733" width="10.5703125" hidden="1" customWidth="1"/>
    <col min="734" max="734" width="14.7109375" hidden="1" customWidth="1"/>
    <col min="735" max="735" width="14.140625" hidden="1" customWidth="1"/>
    <col min="736" max="736" width="10.5703125" hidden="1" customWidth="1"/>
    <col min="737" max="737" width="4.7109375" hidden="1" customWidth="1"/>
    <col min="738" max="738" width="7.140625" hidden="1" customWidth="1"/>
    <col min="739" max="739" width="15.5703125" hidden="1" customWidth="1"/>
    <col min="740" max="740" width="13.140625" hidden="1" customWidth="1"/>
    <col min="741" max="741" width="9.42578125" hidden="1" customWidth="1"/>
    <col min="742" max="742" width="7.5703125" hidden="1" customWidth="1"/>
    <col min="743" max="743" width="14.42578125" hidden="1" customWidth="1"/>
    <col min="744" max="744" width="16.7109375" customWidth="1"/>
    <col min="745" max="745" width="8" hidden="1" customWidth="1"/>
    <col min="746" max="746" width="3.5703125" hidden="1" customWidth="1"/>
    <col min="747" max="747" width="5.5703125" hidden="1" customWidth="1"/>
    <col min="748" max="748" width="9.140625" hidden="1" customWidth="1"/>
    <col min="749" max="749" width="15.42578125" customWidth="1"/>
    <col min="750" max="750" width="9.5703125" hidden="1" customWidth="1"/>
    <col min="751" max="751" width="8.7109375" hidden="1" customWidth="1"/>
    <col min="752" max="752" width="7.5703125" hidden="1" customWidth="1"/>
    <col min="753" max="754" width="8.7109375" style="117" hidden="1" customWidth="1"/>
    <col min="755" max="755" width="6.5703125" hidden="1" customWidth="1"/>
    <col min="756" max="756" width="7.140625" hidden="1" customWidth="1"/>
    <col min="757" max="757" width="7.42578125" hidden="1" customWidth="1"/>
    <col min="758" max="758" width="5.42578125" hidden="1" customWidth="1"/>
    <col min="759" max="759" width="3.140625" hidden="1" customWidth="1"/>
    <col min="760" max="760" width="13.140625" hidden="1" customWidth="1"/>
    <col min="761" max="761" width="13.85546875" customWidth="1"/>
    <col min="762" max="762" width="8" hidden="1" customWidth="1"/>
    <col min="763" max="763" width="15.5703125" hidden="1" customWidth="1"/>
    <col min="764" max="764" width="0.140625" hidden="1" customWidth="1"/>
    <col min="765" max="765" width="9.42578125" hidden="1" customWidth="1"/>
    <col min="766" max="766" width="11" hidden="1" customWidth="1"/>
    <col min="767" max="767" width="11.5703125" hidden="1" customWidth="1"/>
    <col min="768" max="768" width="7.5703125" hidden="1" customWidth="1"/>
    <col min="769" max="769" width="20" customWidth="1"/>
    <col min="770" max="770" width="19.5703125" customWidth="1"/>
    <col min="771" max="771" width="10.5703125" customWidth="1"/>
    <col min="772" max="772" width="20.140625" customWidth="1"/>
    <col min="773" max="773" width="17.85546875" customWidth="1"/>
    <col min="774" max="774" width="10.7109375" customWidth="1"/>
    <col min="775" max="775" width="11" hidden="1" customWidth="1"/>
    <col min="776" max="776" width="9.140625" hidden="1" customWidth="1"/>
    <col min="777" max="777" width="0.7109375" customWidth="1"/>
    <col min="778" max="778" width="54.85546875" style="120" customWidth="1"/>
    <col min="779" max="779" width="24" hidden="1" customWidth="1"/>
    <col min="780" max="780" width="2.42578125" hidden="1" customWidth="1"/>
    <col min="782" max="782" width="16.42578125" hidden="1" customWidth="1"/>
    <col min="783" max="783" width="15.140625" hidden="1" customWidth="1"/>
    <col min="784" max="784" width="19.140625" hidden="1" customWidth="1"/>
    <col min="785" max="785" width="15" hidden="1" customWidth="1"/>
    <col min="786" max="786" width="20.7109375" hidden="1" customWidth="1"/>
    <col min="787" max="788" width="11.5703125" hidden="1" customWidth="1"/>
    <col min="789" max="789" width="19.85546875" hidden="1" customWidth="1"/>
    <col min="790" max="790" width="15.42578125" hidden="1" customWidth="1"/>
    <col min="791" max="792" width="14" hidden="1" customWidth="1"/>
    <col min="793" max="793" width="14.42578125" hidden="1" customWidth="1"/>
    <col min="794" max="794" width="14.7109375" hidden="1" customWidth="1"/>
    <col min="795" max="795" width="11.7109375" hidden="1" customWidth="1"/>
    <col min="796" max="796" width="12.85546875" hidden="1" customWidth="1"/>
    <col min="797" max="797" width="11.7109375" hidden="1" customWidth="1"/>
    <col min="798" max="798" width="16.42578125" hidden="1" customWidth="1"/>
    <col min="799" max="801" width="9.140625" hidden="1" customWidth="1"/>
    <col min="802" max="802" width="20" hidden="1" customWidth="1"/>
    <col min="803" max="803" width="15.140625" hidden="1" customWidth="1"/>
    <col min="804" max="804" width="15.28515625" hidden="1" customWidth="1"/>
    <col min="805" max="805" width="16.85546875" hidden="1" customWidth="1"/>
    <col min="806" max="806" width="14" hidden="1" customWidth="1"/>
    <col min="807" max="807" width="17.42578125" hidden="1" customWidth="1"/>
    <col min="808" max="808" width="15.28515625" hidden="1" customWidth="1"/>
    <col min="809" max="810" width="9.140625" hidden="1" customWidth="1"/>
    <col min="811" max="812" width="9.140625" customWidth="1"/>
    <col min="813" max="813" width="9.140625" hidden="1" customWidth="1"/>
    <col min="814" max="814" width="13.140625" hidden="1" customWidth="1"/>
    <col min="815" max="815" width="18.28515625" hidden="1" customWidth="1"/>
    <col min="816" max="816" width="17" hidden="1" customWidth="1"/>
    <col min="817" max="817" width="14.5703125" hidden="1" customWidth="1"/>
    <col min="818" max="818" width="13.28515625" hidden="1" customWidth="1"/>
    <col min="819" max="819" width="17.5703125" hidden="1" customWidth="1"/>
    <col min="820" max="820" width="16.28515625" hidden="1" customWidth="1"/>
    <col min="821" max="821" width="16.140625" hidden="1" customWidth="1"/>
    <col min="822" max="822" width="13.7109375" hidden="1" customWidth="1"/>
    <col min="823" max="823" width="14.7109375" hidden="1" customWidth="1"/>
    <col min="824" max="824" width="15.5703125" hidden="1" customWidth="1"/>
    <col min="825" max="825" width="9.140625" hidden="1" customWidth="1"/>
    <col min="826" max="826" width="15.5703125" hidden="1" customWidth="1"/>
    <col min="827" max="827" width="8.85546875" hidden="1" customWidth="1"/>
    <col min="828" max="828" width="9.140625" hidden="1" customWidth="1"/>
    <col min="829" max="829" width="8.5703125" hidden="1" customWidth="1"/>
    <col min="830" max="837" width="9.140625" hidden="1" customWidth="1"/>
    <col min="838" max="838" width="8.42578125" hidden="1" customWidth="1"/>
    <col min="839" max="842" width="9.140625" hidden="1" customWidth="1"/>
    <col min="843" max="843" width="8.5703125" hidden="1" customWidth="1"/>
    <col min="844" max="847" width="9.140625" hidden="1" customWidth="1"/>
    <col min="848" max="848" width="7.7109375" hidden="1" customWidth="1"/>
    <col min="849" max="853" width="9.140625" hidden="1" customWidth="1"/>
    <col min="854" max="858" width="0" hidden="1" customWidth="1"/>
  </cols>
  <sheetData>
    <row r="1" spans="1:856" s="1" customFormat="1" ht="15.75">
      <c r="C1" s="2"/>
      <c r="AE1" s="3"/>
      <c r="BD1" s="3"/>
      <c r="IG1" s="3"/>
      <c r="LC1" s="3"/>
      <c r="LD1" s="3"/>
      <c r="LE1" s="3"/>
      <c r="MV1" s="3"/>
      <c r="NC1" s="3"/>
      <c r="NK1" s="3"/>
      <c r="NR1" s="3"/>
      <c r="NY1" s="3"/>
      <c r="OF1" s="3"/>
      <c r="OG1" s="4"/>
      <c r="OH1" s="4"/>
      <c r="OV1" s="5"/>
      <c r="PC1" s="3"/>
      <c r="PO1" s="3"/>
      <c r="QB1" s="3"/>
      <c r="QI1" s="3"/>
      <c r="QQ1" s="5"/>
      <c r="QR1" s="5"/>
      <c r="QS1" s="5"/>
      <c r="RC1" s="5"/>
      <c r="RD1" s="5"/>
      <c r="RQ1" s="6"/>
      <c r="VP1" s="5"/>
      <c r="VQ1" s="5"/>
      <c r="WK1" s="5"/>
      <c r="WL1" s="5"/>
      <c r="WP1" s="5"/>
      <c r="ZS1" s="5"/>
      <c r="ZT1" s="5"/>
      <c r="AAN1" s="7"/>
      <c r="ABY1" s="5"/>
      <c r="ABZ1" s="5"/>
      <c r="ACX1" s="8"/>
    </row>
    <row r="2" spans="1:856" s="1" customFormat="1" ht="15.75">
      <c r="C2" s="9"/>
      <c r="AE2" s="3"/>
      <c r="BD2" s="3"/>
      <c r="IG2" s="3"/>
      <c r="LC2" s="3"/>
      <c r="LD2" s="3"/>
      <c r="LE2" s="3"/>
      <c r="MV2" s="3"/>
      <c r="NC2" s="3"/>
      <c r="NK2" s="3"/>
      <c r="NR2" s="3"/>
      <c r="NY2" s="3"/>
      <c r="OF2" s="3"/>
      <c r="OG2" s="4"/>
      <c r="OH2" s="4"/>
      <c r="OV2" s="5"/>
      <c r="PC2" s="3"/>
      <c r="PO2" s="3"/>
      <c r="QB2" s="3"/>
      <c r="QI2" s="3"/>
      <c r="QQ2" s="5"/>
      <c r="QR2" s="5"/>
      <c r="QS2" s="5"/>
      <c r="RC2" s="5"/>
      <c r="RD2" s="5"/>
      <c r="RQ2" s="6"/>
      <c r="VP2" s="5"/>
      <c r="VQ2" s="5"/>
      <c r="WK2" s="5"/>
      <c r="WL2" s="5"/>
      <c r="WP2" s="5"/>
      <c r="ZS2" s="5"/>
      <c r="ZT2" s="5"/>
      <c r="AAN2" s="7"/>
      <c r="ABY2" s="5"/>
      <c r="ABZ2" s="5"/>
      <c r="ACX2" s="8"/>
    </row>
    <row r="3" spans="1:856" s="1" customFormat="1" ht="25.5" customHeight="1">
      <c r="A3" s="22"/>
      <c r="B3" s="7"/>
      <c r="C3" s="12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22"/>
      <c r="P3" s="7"/>
      <c r="Q3" s="7"/>
      <c r="R3" s="122"/>
      <c r="S3" s="7"/>
      <c r="T3" s="7"/>
      <c r="U3" s="7"/>
      <c r="V3" s="102"/>
      <c r="W3" s="7"/>
      <c r="X3" s="7"/>
      <c r="Y3" s="102"/>
      <c r="Z3" s="7"/>
      <c r="AA3" s="7"/>
      <c r="AB3" s="7"/>
      <c r="AC3" s="102"/>
      <c r="AD3" s="122"/>
      <c r="AE3" s="123"/>
      <c r="AF3" s="7"/>
      <c r="AG3" s="7"/>
      <c r="AH3" s="7"/>
      <c r="AI3" s="7"/>
      <c r="AJ3" s="7"/>
      <c r="AK3" s="122"/>
      <c r="AL3" s="122"/>
      <c r="AM3" s="122"/>
      <c r="AN3" s="7"/>
      <c r="AO3" s="7"/>
      <c r="AP3" s="7"/>
      <c r="AQ3" s="7"/>
      <c r="AR3" s="7"/>
      <c r="AS3" s="7"/>
      <c r="AT3" s="7"/>
      <c r="AU3" s="7"/>
      <c r="AV3" s="122"/>
      <c r="AW3" s="122"/>
      <c r="AX3" s="122"/>
      <c r="AY3" s="122"/>
      <c r="AZ3" s="122"/>
      <c r="BA3" s="122"/>
      <c r="BB3" s="122"/>
      <c r="BC3" s="122"/>
      <c r="BD3" s="123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4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5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4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4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5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5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4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5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4"/>
      <c r="HT3" s="122"/>
      <c r="HU3" s="122"/>
      <c r="HV3" s="7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3"/>
      <c r="IH3" s="122"/>
      <c r="II3" s="122"/>
      <c r="IJ3" s="122"/>
      <c r="IK3" s="122"/>
      <c r="IL3" s="122"/>
      <c r="IM3" s="122"/>
      <c r="IN3" s="122"/>
      <c r="IO3" s="122"/>
      <c r="IP3" s="124"/>
      <c r="IQ3" s="122"/>
      <c r="IR3" s="122"/>
      <c r="IS3" s="122"/>
      <c r="IT3" s="122"/>
      <c r="IU3" s="125"/>
      <c r="IV3" s="125"/>
      <c r="IW3" s="125"/>
      <c r="IX3" s="122"/>
      <c r="IY3" s="122"/>
      <c r="IZ3" s="122"/>
      <c r="JA3" s="122"/>
      <c r="JB3" s="122"/>
      <c r="JC3" s="122"/>
      <c r="JD3" s="122"/>
      <c r="JE3" s="122"/>
      <c r="JF3" s="124"/>
      <c r="JG3" s="122"/>
      <c r="JH3" s="122"/>
      <c r="JI3" s="7"/>
      <c r="JJ3" s="7"/>
      <c r="JK3" s="7"/>
      <c r="JL3" s="122"/>
      <c r="JM3" s="122"/>
      <c r="JN3" s="122"/>
      <c r="JO3" s="122"/>
      <c r="JP3" s="122"/>
      <c r="JQ3" s="122"/>
      <c r="JR3" s="122"/>
      <c r="JS3" s="122"/>
      <c r="JT3" s="124"/>
      <c r="JU3" s="122"/>
      <c r="JV3" s="122"/>
      <c r="JW3" s="122"/>
      <c r="JX3" s="122"/>
      <c r="JY3" s="122"/>
      <c r="JZ3" s="122"/>
      <c r="KA3" s="122"/>
      <c r="KB3" s="122"/>
      <c r="KC3" s="122"/>
      <c r="KD3" s="122"/>
      <c r="KE3" s="122"/>
      <c r="KF3" s="122"/>
      <c r="KG3" s="122"/>
      <c r="KH3" s="122"/>
      <c r="KI3" s="122"/>
      <c r="KJ3" s="125"/>
      <c r="KK3" s="122"/>
      <c r="KL3" s="124"/>
      <c r="KM3" s="122"/>
      <c r="KN3" s="122"/>
      <c r="KO3" s="122"/>
      <c r="KP3" s="122"/>
      <c r="KQ3" s="122"/>
      <c r="KR3" s="122"/>
      <c r="KS3" s="122"/>
      <c r="KT3" s="122"/>
      <c r="KU3" s="122"/>
      <c r="KV3" s="122"/>
      <c r="KW3" s="122"/>
      <c r="KX3" s="122"/>
      <c r="KY3" s="122"/>
      <c r="KZ3" s="122"/>
      <c r="LA3" s="122"/>
      <c r="LB3" s="122"/>
      <c r="LC3" s="123"/>
      <c r="LD3" s="123"/>
      <c r="LE3" s="123"/>
      <c r="LF3" s="122"/>
      <c r="LG3" s="122"/>
      <c r="LH3" s="122"/>
      <c r="LI3" s="122"/>
      <c r="LJ3" s="122"/>
      <c r="LK3" s="122"/>
      <c r="LL3" s="122"/>
      <c r="LM3" s="122"/>
      <c r="LN3" s="122"/>
      <c r="LO3" s="122"/>
      <c r="LP3" s="122"/>
      <c r="LQ3" s="122"/>
      <c r="LR3" s="122"/>
      <c r="LS3" s="122"/>
      <c r="LT3" s="122"/>
      <c r="LU3" s="122"/>
      <c r="LV3" s="122"/>
      <c r="LW3" s="122"/>
      <c r="LX3" s="122"/>
      <c r="LY3" s="122"/>
      <c r="LZ3" s="122"/>
      <c r="MA3" s="122"/>
      <c r="MB3" s="122"/>
      <c r="MC3" s="122"/>
      <c r="MD3" s="122"/>
      <c r="ME3" s="122"/>
      <c r="MF3" s="122"/>
      <c r="MG3" s="122"/>
      <c r="MH3" s="122"/>
      <c r="MI3" s="122"/>
      <c r="MJ3" s="122"/>
      <c r="MK3" s="122"/>
      <c r="ML3" s="122"/>
      <c r="MM3" s="122"/>
      <c r="MN3" s="122"/>
      <c r="MO3" s="122"/>
      <c r="MP3" s="122"/>
      <c r="MQ3" s="122"/>
      <c r="MR3" s="122"/>
      <c r="MS3" s="122"/>
      <c r="MT3" s="122"/>
      <c r="MU3" s="122"/>
      <c r="MV3" s="123"/>
      <c r="MW3" s="122"/>
      <c r="MX3" s="122"/>
      <c r="MY3" s="122"/>
      <c r="MZ3" s="122"/>
      <c r="NA3" s="122"/>
      <c r="NB3" s="122"/>
      <c r="NC3" s="123"/>
      <c r="ND3" s="122"/>
      <c r="NE3" s="122"/>
      <c r="NF3" s="122"/>
      <c r="NG3" s="122"/>
      <c r="NH3" s="122"/>
      <c r="NI3" s="122"/>
      <c r="NJ3" s="122"/>
      <c r="NK3" s="123"/>
      <c r="NL3" s="122"/>
      <c r="NM3" s="122"/>
      <c r="NN3" s="122"/>
      <c r="NO3" s="122"/>
      <c r="NP3" s="122"/>
      <c r="NQ3" s="122"/>
      <c r="NR3" s="123"/>
      <c r="NS3" s="122"/>
      <c r="NT3" s="122"/>
      <c r="NU3" s="122"/>
      <c r="NV3" s="122"/>
      <c r="NW3" s="122"/>
      <c r="NX3" s="122"/>
      <c r="NY3" s="123"/>
      <c r="NZ3" s="122"/>
      <c r="OA3" s="122"/>
      <c r="OB3" s="122"/>
      <c r="OC3" s="122"/>
      <c r="OD3" s="122"/>
      <c r="OE3" s="122"/>
      <c r="OF3" s="123"/>
      <c r="OG3" s="126"/>
      <c r="OH3" s="126"/>
      <c r="OI3" s="122"/>
      <c r="OJ3" s="122"/>
      <c r="OK3" s="122"/>
      <c r="OL3" s="122"/>
      <c r="OM3" s="122"/>
      <c r="ON3" s="122"/>
      <c r="OO3" s="122"/>
      <c r="OP3" s="122"/>
      <c r="OQ3" s="122"/>
      <c r="OR3" s="122"/>
      <c r="OS3" s="122"/>
      <c r="OT3" s="122"/>
      <c r="OU3" s="122"/>
      <c r="OV3" s="127"/>
      <c r="OW3" s="122"/>
      <c r="OX3" s="122"/>
      <c r="OY3" s="122"/>
      <c r="OZ3" s="122"/>
      <c r="PA3" s="122"/>
      <c r="PB3" s="122"/>
      <c r="PC3" s="123"/>
      <c r="PD3" s="122"/>
      <c r="PE3" s="122"/>
      <c r="PF3" s="122"/>
      <c r="PG3" s="122"/>
      <c r="PH3" s="122"/>
      <c r="PI3" s="122"/>
      <c r="PJ3" s="122"/>
      <c r="PK3" s="122"/>
      <c r="PL3" s="122"/>
      <c r="PM3" s="122"/>
      <c r="PN3" s="122"/>
      <c r="PO3" s="123"/>
      <c r="PP3" s="122"/>
      <c r="PQ3" s="122"/>
      <c r="PR3" s="122"/>
      <c r="PS3" s="122"/>
      <c r="PT3" s="122"/>
      <c r="PU3" s="122"/>
      <c r="PV3" s="122"/>
      <c r="PW3" s="122"/>
      <c r="PX3" s="122"/>
      <c r="PY3" s="122"/>
      <c r="PZ3" s="122"/>
      <c r="QA3" s="122"/>
      <c r="QB3" s="123"/>
      <c r="QC3" s="122"/>
      <c r="QD3" s="122"/>
      <c r="QE3" s="122"/>
      <c r="QF3" s="122"/>
      <c r="QG3" s="122"/>
      <c r="QH3" s="122"/>
      <c r="QI3" s="123"/>
      <c r="QJ3" s="122"/>
      <c r="QK3" s="128"/>
      <c r="QL3" s="122"/>
      <c r="QM3" s="122"/>
      <c r="QN3" s="122"/>
      <c r="QO3" s="122"/>
      <c r="QP3" s="122"/>
      <c r="QQ3" s="127"/>
      <c r="QR3" s="127"/>
      <c r="QS3" s="127"/>
      <c r="QT3" s="122"/>
      <c r="QU3" s="122"/>
      <c r="QV3" s="122"/>
      <c r="QW3" s="122"/>
      <c r="QX3" s="122"/>
      <c r="QY3" s="122"/>
      <c r="QZ3" s="122"/>
      <c r="RA3" s="122"/>
      <c r="RB3" s="122"/>
      <c r="RC3" s="127"/>
      <c r="RD3" s="127"/>
      <c r="RE3" s="122"/>
      <c r="RF3" s="122"/>
      <c r="RG3" s="122"/>
      <c r="RH3" s="122"/>
      <c r="RI3" s="122"/>
      <c r="RJ3" s="122"/>
      <c r="RK3" s="122"/>
      <c r="RL3" s="122"/>
      <c r="RM3" s="122"/>
      <c r="RN3" s="122"/>
      <c r="RO3" s="122"/>
      <c r="RP3" s="122"/>
      <c r="RQ3" s="129"/>
      <c r="RR3" s="122"/>
      <c r="RS3" s="122"/>
      <c r="RT3" s="7"/>
      <c r="RU3" s="122"/>
      <c r="RV3" s="122"/>
      <c r="RW3" s="7"/>
      <c r="RX3" s="122"/>
      <c r="RY3" s="122"/>
      <c r="RZ3" s="122"/>
      <c r="SA3" s="122"/>
      <c r="SB3" s="122"/>
      <c r="SC3" s="122"/>
      <c r="SD3" s="122"/>
      <c r="SE3" s="122"/>
      <c r="SF3" s="122"/>
      <c r="SG3" s="122"/>
      <c r="SH3" s="122"/>
      <c r="SI3" s="122"/>
      <c r="SJ3" s="122"/>
      <c r="SK3" s="122"/>
      <c r="SL3" s="122"/>
      <c r="SM3" s="122"/>
      <c r="SN3" s="122"/>
      <c r="SO3" s="122"/>
      <c r="SP3" s="122"/>
      <c r="SQ3" s="122"/>
      <c r="SR3" s="122"/>
      <c r="SS3" s="122"/>
      <c r="ST3" s="122"/>
      <c r="SU3" s="122"/>
      <c r="SV3" s="122"/>
      <c r="SW3" s="122"/>
      <c r="SX3" s="122"/>
      <c r="SY3" s="122"/>
      <c r="SZ3" s="122"/>
      <c r="TA3" s="122"/>
      <c r="TB3" s="122"/>
      <c r="TC3" s="122"/>
      <c r="TD3" s="122"/>
      <c r="TE3" s="122"/>
      <c r="TF3" s="122"/>
      <c r="TG3" s="122"/>
      <c r="TH3" s="122"/>
      <c r="TI3" s="122"/>
      <c r="TJ3" s="122"/>
      <c r="TK3" s="122"/>
      <c r="TL3" s="122"/>
      <c r="TM3" s="122"/>
      <c r="TN3" s="122"/>
      <c r="TO3" s="122"/>
      <c r="TP3" s="122"/>
      <c r="TQ3" s="122"/>
      <c r="TR3" s="122"/>
      <c r="TS3" s="122"/>
      <c r="TT3" s="122"/>
      <c r="TU3" s="122"/>
      <c r="TV3" s="122"/>
      <c r="TW3" s="122"/>
      <c r="TX3" s="122"/>
      <c r="TY3" s="122"/>
      <c r="TZ3" s="122"/>
      <c r="UA3" s="122"/>
      <c r="UB3" s="122"/>
      <c r="UC3" s="122"/>
      <c r="UD3" s="122"/>
      <c r="UE3" s="122"/>
      <c r="UF3" s="122"/>
      <c r="UG3" s="102"/>
      <c r="UH3" s="122"/>
      <c r="UI3" s="122"/>
      <c r="UJ3" s="102"/>
      <c r="UK3" s="102"/>
      <c r="UL3" s="122"/>
      <c r="UN3" s="122"/>
      <c r="UO3" s="122"/>
      <c r="UP3" s="122"/>
      <c r="UQ3" s="122"/>
      <c r="UR3" s="122"/>
      <c r="US3" s="122"/>
      <c r="UT3" s="122"/>
      <c r="UU3" s="122"/>
      <c r="UV3" s="122"/>
      <c r="UW3" s="122"/>
      <c r="UX3" s="122"/>
      <c r="UY3" s="122"/>
      <c r="UZ3" s="130"/>
      <c r="VA3" s="122"/>
      <c r="VB3" s="122"/>
      <c r="VC3" s="122"/>
      <c r="VD3" s="122"/>
      <c r="VE3" s="122"/>
      <c r="VF3" s="122"/>
      <c r="VG3" s="122"/>
      <c r="VH3" s="122"/>
      <c r="VI3" s="122"/>
      <c r="VJ3" s="122"/>
      <c r="VK3" s="122"/>
      <c r="VL3" s="122"/>
      <c r="VM3" s="122"/>
      <c r="VN3" s="122"/>
      <c r="VO3" s="122"/>
      <c r="VP3" s="127"/>
      <c r="VQ3" s="127"/>
      <c r="VR3" s="122"/>
      <c r="VS3" s="122"/>
      <c r="VT3" s="122"/>
      <c r="VU3" s="122"/>
      <c r="VV3" s="122"/>
      <c r="VW3" s="122"/>
      <c r="VX3" s="122"/>
      <c r="VY3" s="122"/>
      <c r="VZ3" s="122"/>
      <c r="WA3" s="122"/>
      <c r="WB3" s="122"/>
      <c r="WC3" s="122"/>
      <c r="WD3" s="122"/>
      <c r="WE3" s="122"/>
      <c r="WF3" s="122"/>
      <c r="WG3" s="122"/>
      <c r="WH3" s="122"/>
      <c r="WI3" s="122"/>
      <c r="WJ3" s="122"/>
      <c r="WK3" s="127"/>
      <c r="WL3" s="127"/>
      <c r="WM3" s="122"/>
      <c r="WN3" s="122"/>
      <c r="WO3" s="122"/>
      <c r="WP3" s="127"/>
      <c r="WQ3" s="122"/>
      <c r="WR3" s="102"/>
      <c r="WS3" s="102"/>
      <c r="WT3" s="122"/>
      <c r="WU3" s="122"/>
      <c r="WV3" s="122"/>
      <c r="WW3" s="122"/>
      <c r="WX3" s="122"/>
      <c r="WY3" s="122"/>
      <c r="WZ3" s="122"/>
      <c r="XA3" s="122"/>
      <c r="XB3" s="122"/>
      <c r="XC3" s="122"/>
      <c r="XD3" s="122"/>
      <c r="XE3" s="122"/>
      <c r="XF3" s="122"/>
      <c r="XG3" s="122"/>
      <c r="XH3" s="7"/>
      <c r="XI3" s="7"/>
      <c r="XJ3" s="7"/>
      <c r="XK3" s="7"/>
      <c r="XL3" s="7"/>
      <c r="XM3" s="7"/>
      <c r="XN3" s="102"/>
      <c r="XO3" s="7"/>
      <c r="XP3" s="122"/>
      <c r="XQ3" s="102"/>
      <c r="XR3" s="102"/>
      <c r="XS3" s="122"/>
      <c r="XT3" s="122"/>
      <c r="XU3" s="122"/>
      <c r="XV3" s="122"/>
      <c r="XW3" s="122"/>
      <c r="XX3" s="122"/>
      <c r="XY3" s="122"/>
      <c r="XZ3" s="122"/>
      <c r="YA3" s="122"/>
      <c r="YB3" s="122"/>
      <c r="YC3" s="122"/>
      <c r="YD3" s="122"/>
      <c r="YE3" s="122"/>
      <c r="YF3" s="122"/>
      <c r="YG3" s="122"/>
      <c r="YI3" s="131"/>
      <c r="YK3" s="122"/>
      <c r="YL3" s="122"/>
      <c r="YM3" s="122"/>
      <c r="YN3" s="122"/>
      <c r="YO3" s="122"/>
      <c r="YP3" s="122"/>
      <c r="YQ3" s="122"/>
      <c r="YR3" s="122"/>
      <c r="YS3" s="104"/>
      <c r="YT3" s="104"/>
      <c r="YY3" s="122"/>
      <c r="YZ3" s="122"/>
      <c r="ZA3" s="122"/>
      <c r="ZB3" s="122"/>
      <c r="ZC3" s="122"/>
      <c r="ZD3" s="122"/>
      <c r="ZE3" s="122"/>
      <c r="ZF3" s="122"/>
      <c r="ZG3" s="122"/>
      <c r="ZH3" s="122"/>
      <c r="ZI3" s="122"/>
      <c r="ZJ3" s="122"/>
      <c r="ZK3" s="122"/>
      <c r="ZL3" s="122"/>
      <c r="ZM3" s="122"/>
      <c r="ZN3" s="122"/>
      <c r="ZO3" s="122"/>
      <c r="ZP3" s="122"/>
      <c r="ZQ3" s="122"/>
      <c r="ZR3" s="122"/>
      <c r="ZS3" s="127"/>
      <c r="ZT3" s="127"/>
      <c r="ZU3" s="122"/>
      <c r="ZV3" s="122"/>
      <c r="ZW3" s="122"/>
      <c r="ZX3" s="122"/>
      <c r="ZY3" s="122"/>
      <c r="ZZ3" s="122"/>
      <c r="AAA3" s="122"/>
      <c r="AAB3" s="122"/>
      <c r="AAC3" s="122"/>
      <c r="AAD3" s="122"/>
      <c r="AAE3" s="122"/>
      <c r="AAF3" s="122"/>
      <c r="AAG3" s="122"/>
      <c r="AAH3" s="122"/>
      <c r="AAI3" s="122"/>
      <c r="AAJ3" s="122"/>
      <c r="AAL3" s="104"/>
      <c r="AAM3" s="131"/>
      <c r="AAN3" s="132"/>
      <c r="AAO3" s="122"/>
      <c r="AAP3" s="122"/>
      <c r="AAQ3" s="122"/>
      <c r="AAR3" s="122"/>
      <c r="AAS3" s="122"/>
      <c r="AAT3" s="122"/>
      <c r="AAU3" s="122"/>
      <c r="AAV3" s="122"/>
      <c r="AAW3" s="122"/>
      <c r="AAX3" s="122"/>
      <c r="AAY3" s="122"/>
      <c r="AAZ3" s="122"/>
      <c r="ABA3" s="122"/>
      <c r="ABB3" s="122"/>
      <c r="ABC3" s="122"/>
      <c r="ABD3" s="122"/>
      <c r="ABE3" s="122"/>
      <c r="ABF3" s="122"/>
      <c r="ABG3" s="122"/>
      <c r="ABH3" s="122"/>
      <c r="ABI3" s="122"/>
      <c r="ABJ3" s="122"/>
      <c r="ABK3" s="122"/>
      <c r="ABL3" s="122"/>
      <c r="ABM3" s="122"/>
      <c r="ABN3" s="122"/>
      <c r="ABO3" s="122"/>
      <c r="ABP3" s="122"/>
      <c r="ABQ3" s="122"/>
      <c r="ABR3" s="122"/>
      <c r="ABS3" s="122"/>
      <c r="ABT3" s="122"/>
      <c r="ABU3" s="122"/>
      <c r="ABV3" s="122"/>
      <c r="ABW3" s="122"/>
      <c r="ABX3" s="122"/>
      <c r="ABY3" s="127"/>
      <c r="ABZ3" s="127"/>
      <c r="ACA3" s="122"/>
      <c r="ACB3" s="122"/>
      <c r="ACC3" s="122"/>
      <c r="ACD3" s="122"/>
      <c r="ACE3" s="122"/>
      <c r="ACF3" s="122"/>
      <c r="ACG3" s="122"/>
      <c r="ACH3" s="122"/>
      <c r="ACI3" s="122"/>
      <c r="ACJ3" s="122"/>
      <c r="ACK3" s="122"/>
      <c r="ACL3" s="122"/>
      <c r="ACM3" s="122"/>
      <c r="ACN3" s="122"/>
      <c r="ACO3" s="122"/>
      <c r="ACP3" s="122"/>
      <c r="ACQ3" s="102"/>
      <c r="ACR3" s="122"/>
      <c r="ACS3" s="122"/>
      <c r="ACT3" s="102"/>
      <c r="ACU3" s="122"/>
      <c r="ACV3" s="122"/>
      <c r="ACX3" s="133"/>
      <c r="ACY3" s="134"/>
      <c r="ACZ3" s="134"/>
      <c r="ADB3" s="122"/>
      <c r="ADC3" s="122"/>
      <c r="ADD3" s="122"/>
      <c r="ADE3" s="122"/>
      <c r="ADF3" s="122"/>
      <c r="ADG3" s="122"/>
      <c r="ADH3" s="122"/>
      <c r="ADI3" s="122"/>
      <c r="ADJ3" s="122"/>
      <c r="ADK3" s="122"/>
      <c r="ADL3" s="122"/>
      <c r="ADM3" s="122"/>
      <c r="ADN3" s="122"/>
      <c r="ADO3" s="122"/>
      <c r="ADP3" s="122"/>
      <c r="ADQ3" s="122"/>
      <c r="ADR3" s="122"/>
      <c r="ADU3" s="122"/>
      <c r="ADV3" s="122"/>
      <c r="ADW3" s="122"/>
      <c r="ADX3" s="122"/>
      <c r="ADY3" s="122"/>
      <c r="ADZ3" s="122"/>
      <c r="AEA3" s="122"/>
      <c r="AEB3" s="122"/>
      <c r="AEC3" s="104"/>
      <c r="AED3" s="104"/>
    </row>
    <row r="4" spans="1:856" s="10" customFormat="1" ht="15.75">
      <c r="C4" s="11"/>
      <c r="AE4" s="12"/>
      <c r="BD4" s="12"/>
      <c r="HP4" s="10">
        <v>12</v>
      </c>
      <c r="IG4" s="12"/>
      <c r="LC4" s="12"/>
      <c r="LD4" s="12"/>
      <c r="LE4" s="12"/>
      <c r="LL4" s="10">
        <v>13</v>
      </c>
      <c r="MV4" s="12"/>
      <c r="NC4" s="12"/>
      <c r="NK4" s="12"/>
      <c r="NR4" s="12"/>
      <c r="NY4" s="12"/>
      <c r="OF4" s="12"/>
      <c r="OG4" s="13"/>
      <c r="OH4" s="13"/>
      <c r="ON4" s="10">
        <v>9</v>
      </c>
      <c r="OV4" s="14">
        <v>9</v>
      </c>
      <c r="OW4" s="10">
        <v>9</v>
      </c>
      <c r="PC4" s="12"/>
      <c r="PE4" s="10">
        <v>10</v>
      </c>
      <c r="PO4" s="12"/>
      <c r="QB4" s="12"/>
      <c r="QI4" s="12"/>
      <c r="QQ4" s="14"/>
      <c r="QR4" s="14"/>
      <c r="QS4" s="14"/>
      <c r="RC4" s="14"/>
      <c r="RD4" s="14"/>
      <c r="RQ4" s="6">
        <v>0</v>
      </c>
      <c r="RS4" s="15"/>
      <c r="UU4" s="10">
        <v>1</v>
      </c>
      <c r="VP4" s="14"/>
      <c r="VQ4" s="14"/>
      <c r="VX4" s="10">
        <v>7</v>
      </c>
      <c r="WA4" s="10">
        <v>5</v>
      </c>
      <c r="WB4" s="10">
        <v>8</v>
      </c>
      <c r="WC4" s="10">
        <v>6</v>
      </c>
      <c r="WK4" s="14"/>
      <c r="WL4" s="14"/>
      <c r="WP4" s="14"/>
      <c r="YY4" s="16" t="s">
        <v>0</v>
      </c>
      <c r="ZS4" s="14"/>
      <c r="ZT4" s="14"/>
      <c r="AAD4" s="10">
        <v>5</v>
      </c>
      <c r="AAE4" s="10">
        <v>8</v>
      </c>
      <c r="AAN4" s="17"/>
      <c r="AAO4" s="135" t="s">
        <v>573</v>
      </c>
      <c r="AAP4" s="135"/>
      <c r="AAQ4" s="135"/>
      <c r="AAR4" s="135"/>
      <c r="AAS4" s="135"/>
      <c r="AAT4" s="135"/>
      <c r="AAU4" s="135"/>
      <c r="AAV4" s="135"/>
      <c r="AAW4" s="135"/>
      <c r="AAX4" s="135"/>
      <c r="AAY4" s="135"/>
      <c r="AAZ4" s="135"/>
      <c r="ABA4" s="135"/>
      <c r="ABB4" s="135"/>
      <c r="ABC4" s="135"/>
      <c r="ABD4" s="135"/>
      <c r="ABE4" s="135"/>
      <c r="ABF4" s="135"/>
      <c r="ABG4" s="135"/>
      <c r="ABH4" s="135"/>
      <c r="ABI4" s="135"/>
      <c r="ABJ4" s="135"/>
      <c r="ABK4" s="135"/>
      <c r="ABL4" s="135"/>
      <c r="ABM4" s="135"/>
      <c r="ABN4" s="135"/>
      <c r="ABO4" s="135"/>
      <c r="ABP4" s="135"/>
      <c r="ABQ4" s="135"/>
      <c r="ABR4" s="135"/>
      <c r="ABS4" s="135"/>
      <c r="ABT4" s="135"/>
      <c r="ABU4" s="135"/>
      <c r="ABV4" s="135"/>
      <c r="ABW4" s="135"/>
      <c r="ABX4" s="135"/>
      <c r="ABY4" s="135"/>
      <c r="ABZ4" s="135"/>
      <c r="ACA4" s="135"/>
      <c r="ACB4" s="135"/>
      <c r="ACC4" s="135"/>
      <c r="ACD4" s="135"/>
      <c r="ACE4" s="135"/>
      <c r="ACF4" s="135"/>
      <c r="ACG4" s="135"/>
      <c r="ACH4" s="135"/>
      <c r="ACI4" s="135"/>
      <c r="ACX4" s="18"/>
      <c r="ADB4" s="164" t="s">
        <v>2</v>
      </c>
      <c r="ADC4" s="164"/>
      <c r="ADD4" s="164"/>
      <c r="ADE4" s="164"/>
      <c r="ADF4" s="164"/>
      <c r="ADG4" s="164"/>
      <c r="ADH4" s="164"/>
      <c r="ADI4" s="164"/>
      <c r="ADJ4" s="164"/>
      <c r="ADK4" s="164"/>
      <c r="ADL4" s="164"/>
      <c r="ADM4" s="164"/>
      <c r="ADN4" s="164"/>
      <c r="ADO4" s="164"/>
      <c r="ADP4" s="164"/>
      <c r="ADQ4" s="164"/>
      <c r="ADR4" s="164"/>
      <c r="AEG4" s="10" t="s">
        <v>3</v>
      </c>
    </row>
    <row r="5" spans="1:856" s="10" customFormat="1" ht="15.75">
      <c r="C5" s="11"/>
      <c r="AE5" s="12"/>
      <c r="BD5" s="12"/>
      <c r="IG5" s="12"/>
      <c r="LC5" s="12"/>
      <c r="LD5" s="12"/>
      <c r="LE5" s="12"/>
      <c r="MV5" s="12"/>
      <c r="NC5" s="12"/>
      <c r="NK5" s="12"/>
      <c r="NR5" s="12"/>
      <c r="NY5" s="12"/>
      <c r="OF5" s="12"/>
      <c r="OG5" s="13"/>
      <c r="OH5" s="13"/>
      <c r="OV5" s="14"/>
      <c r="PC5" s="12"/>
      <c r="PO5" s="12"/>
      <c r="QB5" s="12"/>
      <c r="QI5" s="12"/>
      <c r="QQ5" s="14"/>
      <c r="QR5" s="14"/>
      <c r="QS5" s="14"/>
      <c r="RC5" s="14"/>
      <c r="RD5" s="14"/>
      <c r="RQ5" s="6"/>
      <c r="RS5" s="15"/>
      <c r="VP5" s="14"/>
      <c r="VQ5" s="14"/>
      <c r="WK5" s="14"/>
      <c r="WL5" s="14"/>
      <c r="WP5" s="14"/>
      <c r="YY5" s="16"/>
      <c r="ZS5" s="14"/>
      <c r="ZT5" s="14"/>
      <c r="AAN5" s="17"/>
      <c r="AAO5" s="19"/>
      <c r="AAQ5" s="19"/>
      <c r="AAS5" s="19"/>
      <c r="AAT5" s="19"/>
      <c r="AAV5" s="19"/>
      <c r="AAW5" s="19"/>
      <c r="AAX5" s="19"/>
      <c r="AAY5" s="19"/>
      <c r="AAZ5" s="19"/>
      <c r="ABA5" s="19"/>
      <c r="ABB5" s="19"/>
      <c r="ABD5" s="19"/>
      <c r="ABE5" s="19"/>
      <c r="ABG5" s="19"/>
      <c r="ABH5" s="19"/>
      <c r="ABI5" s="19"/>
      <c r="ABJ5" s="19"/>
      <c r="ABL5" s="19"/>
      <c r="ABM5" s="19"/>
      <c r="ABN5" s="19"/>
      <c r="ABP5" s="19"/>
      <c r="ABQ5" s="19"/>
      <c r="ABR5" s="19"/>
      <c r="ABS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G5" s="19"/>
      <c r="ACH5" s="19"/>
      <c r="ACI5" s="19"/>
      <c r="ACX5" s="18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</row>
    <row r="6" spans="1:856" s="1" customFormat="1" ht="15.75" customHeight="1">
      <c r="A6" s="138" t="s">
        <v>4</v>
      </c>
      <c r="B6" s="20"/>
      <c r="C6" s="145" t="s">
        <v>5</v>
      </c>
      <c r="AE6" s="3"/>
      <c r="BD6" s="3"/>
      <c r="IG6" s="3"/>
      <c r="LA6" s="7"/>
      <c r="LC6" s="3"/>
      <c r="LD6" s="3"/>
      <c r="LE6" s="3"/>
      <c r="LG6" s="7"/>
      <c r="LH6" s="7"/>
      <c r="LJ6" s="7"/>
      <c r="LL6" s="7"/>
      <c r="LN6" s="7"/>
      <c r="LO6" s="7"/>
      <c r="LP6" s="7"/>
      <c r="LQ6" s="7"/>
      <c r="MT6" s="7"/>
      <c r="MU6" s="7"/>
      <c r="MV6" s="3"/>
      <c r="MW6" s="7"/>
      <c r="MX6" s="7"/>
      <c r="MY6" s="7"/>
      <c r="MZ6" s="7"/>
      <c r="NA6" s="7"/>
      <c r="NB6" s="7"/>
      <c r="NC6" s="3"/>
      <c r="ND6" s="7"/>
      <c r="NE6" s="7"/>
      <c r="NF6" s="7"/>
      <c r="NG6" s="7"/>
      <c r="NI6" s="7"/>
      <c r="NJ6" s="7"/>
      <c r="NK6" s="3"/>
      <c r="NL6" s="7"/>
      <c r="NM6" s="7"/>
      <c r="NN6" s="7"/>
      <c r="NO6" s="7"/>
      <c r="NP6" s="7"/>
      <c r="NQ6" s="7"/>
      <c r="NR6" s="3"/>
      <c r="NS6" s="7"/>
      <c r="NT6" s="7"/>
      <c r="NU6" s="7"/>
      <c r="NV6" s="7"/>
      <c r="NW6" s="7"/>
      <c r="NX6" s="7"/>
      <c r="NY6" s="3"/>
      <c r="NZ6" s="7"/>
      <c r="OA6" s="7"/>
      <c r="OB6" s="7"/>
      <c r="OC6" s="7"/>
      <c r="OF6" s="3"/>
      <c r="OG6" s="4"/>
      <c r="OH6" s="4"/>
      <c r="OV6" s="5"/>
      <c r="PB6" s="7"/>
      <c r="PC6" s="3"/>
      <c r="PE6" s="7"/>
      <c r="PO6" s="3"/>
      <c r="QB6" s="3"/>
      <c r="QI6" s="3"/>
      <c r="QQ6" s="5"/>
      <c r="QR6" s="5"/>
      <c r="QS6" s="5"/>
      <c r="RC6" s="5"/>
      <c r="RD6" s="5"/>
      <c r="RQ6" s="6"/>
      <c r="RZ6" s="21"/>
      <c r="SA6" s="21"/>
      <c r="SB6" s="21"/>
      <c r="SC6" s="21"/>
      <c r="UW6" s="149" t="s">
        <v>6</v>
      </c>
      <c r="UX6" s="149"/>
      <c r="UY6" s="149"/>
      <c r="UZ6" s="149"/>
      <c r="VA6" s="149"/>
      <c r="VB6" s="149"/>
      <c r="VC6" s="149"/>
      <c r="VD6" s="149"/>
      <c r="VE6" s="149"/>
      <c r="VF6" s="149"/>
      <c r="VG6" s="149"/>
      <c r="VH6" s="149"/>
      <c r="VI6" s="149"/>
      <c r="VJ6" s="149"/>
      <c r="VK6" s="149"/>
      <c r="VL6" s="149"/>
      <c r="VM6" s="149"/>
      <c r="VN6" s="149"/>
      <c r="VO6" s="149"/>
      <c r="VP6" s="149"/>
      <c r="VQ6" s="149"/>
      <c r="VR6" s="149"/>
      <c r="VS6" s="149"/>
      <c r="VT6" s="149"/>
      <c r="VU6" s="149"/>
      <c r="VV6" s="149"/>
      <c r="VW6" s="149"/>
      <c r="VX6" s="149"/>
      <c r="WC6" s="7"/>
      <c r="WD6" s="7"/>
      <c r="WE6" s="22" t="s">
        <v>7</v>
      </c>
      <c r="WF6" s="7"/>
      <c r="WK6" s="5"/>
      <c r="WL6" s="5"/>
      <c r="WP6" s="5"/>
      <c r="WZ6" s="165" t="s">
        <v>8</v>
      </c>
      <c r="XA6" s="166"/>
      <c r="XB6" s="166"/>
      <c r="XC6" s="166"/>
      <c r="XD6" s="166"/>
      <c r="XE6" s="166"/>
      <c r="XF6" s="167"/>
      <c r="XG6" s="149" t="s">
        <v>9</v>
      </c>
      <c r="XH6" s="149"/>
      <c r="XI6" s="149"/>
      <c r="XJ6" s="149"/>
      <c r="XK6" s="149"/>
      <c r="XL6" s="149"/>
      <c r="XM6" s="149"/>
      <c r="XS6" s="148" t="s">
        <v>10</v>
      </c>
      <c r="XT6" s="156" t="s">
        <v>11</v>
      </c>
      <c r="XU6" s="149" t="s">
        <v>12</v>
      </c>
      <c r="XV6" s="149"/>
      <c r="XW6" s="149"/>
      <c r="XX6" s="149"/>
      <c r="XY6" s="149"/>
      <c r="XZ6" s="149"/>
      <c r="YA6" s="149"/>
      <c r="YB6" s="149"/>
      <c r="YC6" s="149"/>
      <c r="YD6" s="149"/>
      <c r="YE6" s="148" t="s">
        <v>13</v>
      </c>
      <c r="YF6" s="148" t="s">
        <v>14</v>
      </c>
      <c r="YG6" s="148" t="s">
        <v>15</v>
      </c>
      <c r="YY6" s="149" t="s">
        <v>6</v>
      </c>
      <c r="YZ6" s="149"/>
      <c r="ZA6" s="149"/>
      <c r="ZB6" s="149"/>
      <c r="ZC6" s="149"/>
      <c r="ZD6" s="149"/>
      <c r="ZE6" s="149"/>
      <c r="ZF6" s="149"/>
      <c r="ZG6" s="149"/>
      <c r="ZH6" s="149"/>
      <c r="ZI6" s="149"/>
      <c r="ZJ6" s="149"/>
      <c r="ZK6" s="149"/>
      <c r="ZL6" s="149"/>
      <c r="ZM6" s="149"/>
      <c r="ZN6" s="149"/>
      <c r="ZO6" s="149"/>
      <c r="ZP6" s="149"/>
      <c r="ZQ6" s="149"/>
      <c r="ZR6" s="149"/>
      <c r="ZS6" s="149"/>
      <c r="ZT6" s="149"/>
      <c r="ZU6" s="149"/>
      <c r="ZV6" s="149"/>
      <c r="ZW6" s="149"/>
      <c r="ZX6" s="149"/>
      <c r="ZY6" s="149"/>
      <c r="ZZ6" s="149"/>
      <c r="AAA6" s="149"/>
      <c r="AAF6" s="23" t="s">
        <v>16</v>
      </c>
      <c r="AAG6" s="7"/>
      <c r="AAH6" s="144" t="s">
        <v>17</v>
      </c>
      <c r="AAI6" s="24" t="s">
        <v>16</v>
      </c>
      <c r="AAJ6" s="157" t="s">
        <v>18</v>
      </c>
      <c r="AAN6" s="25" t="s">
        <v>19</v>
      </c>
      <c r="AAO6" s="149" t="s">
        <v>19</v>
      </c>
      <c r="AAP6" s="149"/>
      <c r="AAQ6" s="149"/>
      <c r="AAR6" s="149"/>
      <c r="AAS6" s="149"/>
      <c r="AAT6" s="149"/>
      <c r="AAU6" s="149"/>
      <c r="AAV6" s="149"/>
      <c r="AAW6" s="149"/>
      <c r="AAX6" s="149"/>
      <c r="AAY6" s="149"/>
      <c r="AAZ6" s="149"/>
      <c r="ABA6" s="149"/>
      <c r="ABB6" s="149"/>
      <c r="ABC6" s="149"/>
      <c r="ABD6" s="149"/>
      <c r="ABE6" s="149"/>
      <c r="ABF6" s="149"/>
      <c r="ABG6" s="149"/>
      <c r="ABH6" s="149"/>
      <c r="ABI6" s="149"/>
      <c r="ABJ6" s="149"/>
      <c r="ABK6" s="149"/>
      <c r="ABL6" s="149"/>
      <c r="ABM6" s="149"/>
      <c r="ABN6" s="149"/>
      <c r="ABO6" s="149"/>
      <c r="ABP6" s="149"/>
      <c r="ABQ6" s="149"/>
      <c r="ABR6" s="149"/>
      <c r="ABS6" s="149"/>
      <c r="ABT6" s="149"/>
      <c r="ABU6" s="149"/>
      <c r="ABV6" s="149"/>
      <c r="ABW6" s="149"/>
      <c r="ABX6" s="149"/>
      <c r="ABY6" s="149"/>
      <c r="ABZ6" s="149"/>
      <c r="ACA6" s="149"/>
      <c r="ACB6" s="149"/>
      <c r="ACC6" s="149"/>
      <c r="ACD6" s="149"/>
      <c r="ACE6" s="149"/>
      <c r="ACF6" s="149"/>
      <c r="ACG6" s="149"/>
      <c r="ACH6" s="26"/>
      <c r="ACI6" s="27"/>
      <c r="ACN6" s="22">
        <v>2017</v>
      </c>
      <c r="ACO6" s="28" t="s">
        <v>20</v>
      </c>
      <c r="ACP6" s="28" t="s">
        <v>21</v>
      </c>
      <c r="ACQ6" s="141" t="s">
        <v>22</v>
      </c>
      <c r="ACR6" s="28" t="s">
        <v>20</v>
      </c>
      <c r="ACS6" s="28" t="s">
        <v>21</v>
      </c>
      <c r="ACT6" s="141" t="s">
        <v>22</v>
      </c>
      <c r="ACX6" s="148" t="s">
        <v>23</v>
      </c>
      <c r="ACY6" s="29"/>
      <c r="ADB6" s="148" t="s">
        <v>10</v>
      </c>
      <c r="ADC6" s="156" t="s">
        <v>11</v>
      </c>
      <c r="ADD6" s="149" t="s">
        <v>12</v>
      </c>
      <c r="ADE6" s="149"/>
      <c r="ADF6" s="149"/>
      <c r="ADG6" s="149"/>
      <c r="ADH6" s="149"/>
      <c r="ADI6" s="149"/>
      <c r="ADJ6" s="149"/>
      <c r="ADK6" s="149"/>
      <c r="ADL6" s="149"/>
      <c r="ADM6" s="149"/>
      <c r="ADN6" s="149"/>
      <c r="ADO6" s="149"/>
      <c r="ADP6" s="148" t="s">
        <v>13</v>
      </c>
      <c r="ADQ6" s="148" t="s">
        <v>14</v>
      </c>
      <c r="ADR6" s="148" t="s">
        <v>24</v>
      </c>
      <c r="AEG6" s="1" t="s">
        <v>19</v>
      </c>
    </row>
    <row r="7" spans="1:856" s="1" customFormat="1" ht="20.25" customHeight="1">
      <c r="A7" s="138"/>
      <c r="B7" s="138" t="s">
        <v>25</v>
      </c>
      <c r="C7" s="145"/>
      <c r="D7" s="159" t="s">
        <v>25</v>
      </c>
      <c r="E7" s="138" t="s">
        <v>26</v>
      </c>
      <c r="F7" s="138" t="s">
        <v>27</v>
      </c>
      <c r="G7" s="160"/>
      <c r="H7" s="20"/>
      <c r="I7" s="138" t="s">
        <v>28</v>
      </c>
      <c r="J7" s="138" t="s">
        <v>29</v>
      </c>
      <c r="K7" s="138" t="s">
        <v>30</v>
      </c>
      <c r="L7" s="28"/>
      <c r="M7" s="28"/>
      <c r="N7" s="28"/>
      <c r="O7" s="28"/>
      <c r="P7" s="28"/>
      <c r="Q7" s="28"/>
      <c r="R7" s="28"/>
      <c r="S7" s="138" t="s">
        <v>31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30"/>
      <c r="AF7" s="23"/>
      <c r="AG7" s="23"/>
      <c r="AH7" s="23"/>
      <c r="AI7" s="23"/>
      <c r="AN7" s="23"/>
      <c r="AO7" s="23"/>
      <c r="AP7" s="23"/>
      <c r="AQ7" s="23"/>
      <c r="AR7" s="23"/>
      <c r="AS7" s="23" t="s">
        <v>32</v>
      </c>
      <c r="AY7" s="23"/>
      <c r="AZ7" s="23"/>
      <c r="BA7" s="23"/>
      <c r="BB7" s="23"/>
      <c r="BC7" s="23"/>
      <c r="BD7" s="3"/>
      <c r="BF7" s="23"/>
      <c r="BI7" s="23"/>
      <c r="BJ7" s="23"/>
      <c r="BL7" s="23"/>
      <c r="BM7" s="23"/>
      <c r="BN7" s="23"/>
      <c r="BO7" s="23"/>
      <c r="BP7" s="23"/>
      <c r="BQ7" s="23"/>
      <c r="BR7" s="23"/>
      <c r="BS7" s="23"/>
      <c r="BT7" s="23"/>
      <c r="BW7" s="31" t="s">
        <v>33</v>
      </c>
      <c r="BX7" s="31" t="s">
        <v>33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 t="s">
        <v>34</v>
      </c>
      <c r="CJ7" s="31"/>
      <c r="CK7" s="31"/>
      <c r="CL7" s="31"/>
      <c r="CM7" s="31"/>
      <c r="CN7" s="31"/>
      <c r="CO7" s="31" t="s">
        <v>33</v>
      </c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 t="s">
        <v>33</v>
      </c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S7" s="31"/>
      <c r="DT7" s="31" t="s">
        <v>33</v>
      </c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G7" s="31" t="s">
        <v>35</v>
      </c>
      <c r="EH7" s="31" t="s">
        <v>33</v>
      </c>
      <c r="EI7" s="31"/>
      <c r="EJ7" s="31"/>
      <c r="EK7" s="31"/>
      <c r="EL7" s="31"/>
      <c r="EM7" s="31"/>
      <c r="EN7" s="31"/>
      <c r="EO7" s="31"/>
      <c r="EP7" s="31"/>
      <c r="EQ7" s="31" t="s">
        <v>36</v>
      </c>
      <c r="ER7" s="31"/>
      <c r="ES7" s="31"/>
      <c r="ET7" s="31"/>
      <c r="EU7" s="31"/>
      <c r="EV7" s="31"/>
      <c r="EW7" s="31" t="s">
        <v>33</v>
      </c>
      <c r="FA7" s="31"/>
      <c r="FB7" s="31"/>
      <c r="FC7" s="31"/>
      <c r="FD7" s="31"/>
      <c r="FE7" s="31"/>
      <c r="FF7" s="31"/>
      <c r="FG7" s="31"/>
      <c r="FH7" s="31"/>
      <c r="FI7" s="31"/>
      <c r="FK7" s="31"/>
      <c r="FL7" s="31" t="s">
        <v>33</v>
      </c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B7" s="31"/>
      <c r="GC7" s="31" t="s">
        <v>33</v>
      </c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23"/>
      <c r="GU7" s="31"/>
      <c r="GV7" s="31"/>
      <c r="GW7" s="31"/>
      <c r="GX7" s="23"/>
      <c r="GY7" s="31"/>
      <c r="GZ7" s="31"/>
      <c r="HA7" s="31"/>
      <c r="HB7" s="23"/>
      <c r="HC7" s="31"/>
      <c r="HD7" s="31"/>
      <c r="HE7" s="31"/>
      <c r="HF7" s="23"/>
      <c r="HG7" s="23"/>
      <c r="HH7" s="23"/>
      <c r="HJ7" s="31"/>
      <c r="HK7" s="31"/>
      <c r="HL7" s="31"/>
      <c r="HM7" s="31"/>
      <c r="HN7" s="31"/>
      <c r="HO7" s="31"/>
      <c r="HP7" s="31"/>
      <c r="HQ7" s="31"/>
      <c r="HR7" s="31"/>
      <c r="HT7" s="31"/>
      <c r="HU7" s="31"/>
      <c r="HV7" s="31"/>
      <c r="HW7" s="31"/>
      <c r="HX7" s="31"/>
      <c r="HZ7" s="31"/>
      <c r="IA7" s="31"/>
      <c r="IB7" s="31"/>
      <c r="IC7" s="31"/>
      <c r="ID7" s="31"/>
      <c r="IE7" s="31"/>
      <c r="IF7" s="23"/>
      <c r="IG7" s="30"/>
      <c r="IH7" s="23"/>
      <c r="II7" s="23"/>
      <c r="IJ7" s="31"/>
      <c r="IK7" s="23"/>
      <c r="IL7" s="31"/>
      <c r="IM7" s="23"/>
      <c r="IN7" s="23">
        <f>ROUND((3.88*6+4.17*6)/12,2)</f>
        <v>4.03</v>
      </c>
      <c r="IO7" s="23"/>
      <c r="IQ7" s="31"/>
      <c r="IR7" s="31" t="s">
        <v>33</v>
      </c>
      <c r="IZ7" s="31"/>
      <c r="JA7" s="31"/>
      <c r="JB7" s="31"/>
      <c r="JC7" s="31"/>
      <c r="JD7" s="31"/>
      <c r="JE7" s="31"/>
      <c r="JG7" s="31"/>
      <c r="JH7" s="31" t="s">
        <v>33</v>
      </c>
      <c r="JN7" s="31"/>
      <c r="JO7" s="31"/>
      <c r="JP7" s="31"/>
      <c r="JQ7" s="31"/>
      <c r="JR7" s="31"/>
      <c r="JS7" s="31"/>
      <c r="JU7" s="31"/>
      <c r="JV7" s="31"/>
      <c r="JW7" s="31"/>
      <c r="JX7" s="31"/>
      <c r="JY7" s="31"/>
      <c r="JZ7" s="31"/>
      <c r="KA7" s="31"/>
      <c r="KB7" s="31"/>
      <c r="KC7" s="31"/>
      <c r="KK7" s="31"/>
      <c r="KM7" s="31"/>
      <c r="KN7" s="31" t="s">
        <v>33</v>
      </c>
      <c r="KS7" s="31"/>
      <c r="KT7" s="31"/>
      <c r="KU7" s="31"/>
      <c r="KV7" s="31"/>
      <c r="KW7" s="31"/>
      <c r="KX7" s="31"/>
      <c r="KY7" s="31"/>
      <c r="KZ7" s="31"/>
      <c r="LA7" s="32"/>
      <c r="LB7" s="23"/>
      <c r="LC7" s="30"/>
      <c r="LD7" s="30"/>
      <c r="LE7" s="30"/>
      <c r="LF7" s="23"/>
      <c r="LG7" s="32"/>
      <c r="LH7" s="32"/>
      <c r="LI7" s="23"/>
      <c r="LJ7" s="32"/>
      <c r="LK7" s="23"/>
      <c r="LL7" s="32"/>
      <c r="LM7" s="23"/>
      <c r="LN7" s="32"/>
      <c r="LO7" s="32"/>
      <c r="LP7" s="32"/>
      <c r="LQ7" s="32"/>
      <c r="LT7" s="31"/>
      <c r="LU7" s="31"/>
      <c r="LV7" s="31"/>
      <c r="LW7" s="31"/>
      <c r="LZ7" s="31"/>
      <c r="MA7" s="31"/>
      <c r="MB7" s="31"/>
      <c r="MC7" s="31"/>
      <c r="MF7" s="31"/>
      <c r="MG7" s="31"/>
      <c r="MH7" s="31"/>
      <c r="MI7" s="31"/>
      <c r="ML7" s="31"/>
      <c r="MM7" s="31"/>
      <c r="MN7" s="31"/>
      <c r="MO7" s="31"/>
      <c r="MP7" s="31"/>
      <c r="MQ7" s="23"/>
      <c r="MR7" s="31"/>
      <c r="MS7" s="23"/>
      <c r="MT7" s="32"/>
      <c r="MU7" s="32"/>
      <c r="MV7" s="30"/>
      <c r="MW7" s="32"/>
      <c r="MX7" s="32"/>
      <c r="MY7" s="32"/>
      <c r="MZ7" s="32"/>
      <c r="NA7" s="32"/>
      <c r="NB7" s="32"/>
      <c r="NC7" s="30"/>
      <c r="ND7" s="32"/>
      <c r="NE7" s="32"/>
      <c r="NF7" s="32"/>
      <c r="NG7" s="32"/>
      <c r="NH7" s="23"/>
      <c r="NI7" s="32"/>
      <c r="NJ7" s="32"/>
      <c r="NK7" s="30"/>
      <c r="NL7" s="32"/>
      <c r="NM7" s="32"/>
      <c r="NN7" s="32"/>
      <c r="NO7" s="32"/>
      <c r="NP7" s="32"/>
      <c r="NQ7" s="32"/>
      <c r="NR7" s="30"/>
      <c r="NS7" s="32"/>
      <c r="NT7" s="32"/>
      <c r="NU7" s="32"/>
      <c r="NV7" s="32"/>
      <c r="NW7" s="32"/>
      <c r="NX7" s="32"/>
      <c r="NY7" s="30"/>
      <c r="NZ7" s="32"/>
      <c r="OA7" s="32"/>
      <c r="OB7" s="32"/>
      <c r="OC7" s="32"/>
      <c r="OD7" s="31"/>
      <c r="OE7" s="23"/>
      <c r="OF7" s="30"/>
      <c r="OG7" s="33"/>
      <c r="OH7" s="33"/>
      <c r="OI7" s="31"/>
      <c r="OJ7" s="23"/>
      <c r="OK7" s="31"/>
      <c r="OL7" s="23"/>
      <c r="OM7" s="23"/>
      <c r="ON7" s="31"/>
      <c r="OO7" s="23"/>
      <c r="OP7" s="23"/>
      <c r="OQ7" s="23"/>
      <c r="OR7" s="23"/>
      <c r="OS7" s="23"/>
      <c r="OT7" s="23"/>
      <c r="OU7" s="23"/>
      <c r="OV7" s="34"/>
      <c r="OW7" s="23"/>
      <c r="OX7" s="23"/>
      <c r="OY7" s="23"/>
      <c r="OZ7" s="23"/>
      <c r="PA7" s="35"/>
      <c r="PB7" s="32"/>
      <c r="PC7" s="30"/>
      <c r="PD7" s="35"/>
      <c r="PE7" s="32"/>
      <c r="PF7" s="31"/>
      <c r="PG7" s="23"/>
      <c r="PH7" s="31"/>
      <c r="PI7" s="23"/>
      <c r="PJ7" s="31"/>
      <c r="PK7" s="23"/>
      <c r="PL7" s="23"/>
      <c r="PM7" s="31"/>
      <c r="PN7" s="23"/>
      <c r="PO7" s="30"/>
      <c r="PP7" s="31"/>
      <c r="PQ7" s="23"/>
      <c r="PR7" s="31"/>
      <c r="PS7" s="23"/>
      <c r="PT7" s="31"/>
      <c r="PU7" s="23"/>
      <c r="PV7" s="31"/>
      <c r="PW7" s="23"/>
      <c r="PX7" s="31"/>
      <c r="PY7" s="23"/>
      <c r="PZ7" s="31"/>
      <c r="QA7" s="23"/>
      <c r="QB7" s="30"/>
      <c r="QC7" s="31"/>
      <c r="QD7" s="23"/>
      <c r="QE7" s="31"/>
      <c r="QF7" s="23"/>
      <c r="QG7" s="31"/>
      <c r="QH7" s="23"/>
      <c r="QI7" s="30"/>
      <c r="QQ7" s="5"/>
      <c r="QR7" s="5"/>
      <c r="QS7" s="5"/>
      <c r="RC7" s="36" t="s">
        <v>37</v>
      </c>
      <c r="RD7" s="34"/>
      <c r="RE7" s="31"/>
      <c r="RF7" s="23"/>
      <c r="RG7" s="23"/>
      <c r="RH7" s="31"/>
      <c r="RI7" s="23"/>
      <c r="RJ7" s="23" t="s">
        <v>38</v>
      </c>
      <c r="RK7" s="23" t="s">
        <v>17</v>
      </c>
      <c r="RL7" s="23"/>
      <c r="RM7" s="23"/>
      <c r="RQ7" s="6"/>
      <c r="RT7" s="25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 t="s">
        <v>39</v>
      </c>
      <c r="SI7" s="26"/>
      <c r="SJ7" s="26"/>
      <c r="SK7" s="26"/>
      <c r="SL7" s="26"/>
      <c r="SM7" s="26"/>
      <c r="SN7" s="26"/>
      <c r="SO7" s="26"/>
      <c r="SP7" s="26"/>
      <c r="SQ7" s="26" t="s">
        <v>40</v>
      </c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7"/>
      <c r="TP7" s="37"/>
      <c r="TQ7" s="37"/>
      <c r="TR7" s="37"/>
      <c r="TS7" s="37"/>
      <c r="TT7" s="37"/>
      <c r="TU7" s="37"/>
      <c r="TV7" s="37"/>
      <c r="TW7" s="37"/>
      <c r="TX7" s="37"/>
      <c r="TY7" s="37"/>
      <c r="TZ7" s="37"/>
      <c r="UB7" s="25" t="s">
        <v>41</v>
      </c>
      <c r="UC7" s="26"/>
      <c r="UD7" s="26"/>
      <c r="UE7" s="26"/>
      <c r="UF7" s="26"/>
      <c r="UG7" s="26"/>
      <c r="UH7" s="26"/>
      <c r="UI7" s="26"/>
      <c r="UJ7" s="26"/>
      <c r="UK7" s="27"/>
      <c r="UU7" s="38">
        <v>42370</v>
      </c>
      <c r="UW7" s="141" t="s">
        <v>42</v>
      </c>
      <c r="UX7" s="152" t="s">
        <v>12</v>
      </c>
      <c r="UY7" s="153"/>
      <c r="UZ7" s="153"/>
      <c r="VA7" s="153"/>
      <c r="VB7" s="153"/>
      <c r="VC7" s="153"/>
      <c r="VD7" s="153"/>
      <c r="VE7" s="153"/>
      <c r="VF7" s="153"/>
      <c r="VG7" s="153"/>
      <c r="VH7" s="153"/>
      <c r="VI7" s="153"/>
      <c r="VJ7" s="154"/>
      <c r="VK7" s="141" t="s">
        <v>43</v>
      </c>
      <c r="VL7" s="141" t="s">
        <v>44</v>
      </c>
      <c r="VM7" s="141" t="s">
        <v>13</v>
      </c>
      <c r="VN7" s="141" t="s">
        <v>45</v>
      </c>
      <c r="VO7" s="144" t="s">
        <v>46</v>
      </c>
      <c r="VP7" s="39" t="s">
        <v>45</v>
      </c>
      <c r="VQ7" s="39" t="s">
        <v>46</v>
      </c>
      <c r="VR7" s="144" t="s">
        <v>47</v>
      </c>
      <c r="VS7" s="144" t="s">
        <v>48</v>
      </c>
      <c r="VT7" s="20"/>
      <c r="VU7" s="20"/>
      <c r="VV7" s="20"/>
      <c r="VW7" s="141" t="s">
        <v>14</v>
      </c>
      <c r="VX7" s="141" t="s">
        <v>38</v>
      </c>
      <c r="VY7" s="145" t="s">
        <v>49</v>
      </c>
      <c r="VZ7" s="40"/>
      <c r="WA7" s="144" t="s">
        <v>50</v>
      </c>
      <c r="WB7" s="144" t="s">
        <v>51</v>
      </c>
      <c r="WC7" s="141" t="s">
        <v>17</v>
      </c>
      <c r="WD7" s="41"/>
      <c r="WE7" s="157" t="s">
        <v>38</v>
      </c>
      <c r="WF7" s="42"/>
      <c r="WG7" s="31"/>
      <c r="WH7" s="31"/>
      <c r="WI7" s="31"/>
      <c r="WJ7" s="31"/>
      <c r="WK7" s="36"/>
      <c r="WL7" s="36"/>
      <c r="WM7" s="31"/>
      <c r="WN7" s="23"/>
      <c r="WO7" s="39"/>
      <c r="WP7" s="144" t="s">
        <v>49</v>
      </c>
      <c r="WQ7" s="141" t="s">
        <v>51</v>
      </c>
      <c r="WR7" s="144" t="s">
        <v>52</v>
      </c>
      <c r="WS7" s="144" t="s">
        <v>53</v>
      </c>
      <c r="WT7" s="144" t="s">
        <v>54</v>
      </c>
      <c r="WU7" s="39"/>
      <c r="WV7" s="39"/>
      <c r="WW7" s="43"/>
      <c r="WX7" s="43"/>
      <c r="WY7" s="43"/>
      <c r="WZ7" s="152" t="s">
        <v>55</v>
      </c>
      <c r="XA7" s="153"/>
      <c r="XB7" s="154"/>
      <c r="XF7" s="137" t="s">
        <v>56</v>
      </c>
      <c r="XG7" s="137" t="s">
        <v>57</v>
      </c>
      <c r="XH7" s="7"/>
      <c r="XI7" s="7" t="s">
        <v>12</v>
      </c>
      <c r="XJ7" s="7"/>
      <c r="XK7" s="7"/>
      <c r="XL7" s="7"/>
      <c r="XM7" s="155" t="s">
        <v>49</v>
      </c>
      <c r="XS7" s="148"/>
      <c r="XT7" s="161"/>
      <c r="XU7" s="148" t="s">
        <v>58</v>
      </c>
      <c r="XV7" s="156" t="s">
        <v>59</v>
      </c>
      <c r="XW7" s="138" t="s">
        <v>12</v>
      </c>
      <c r="XX7" s="138"/>
      <c r="XY7" s="136" t="s">
        <v>60</v>
      </c>
      <c r="XZ7" s="138" t="s">
        <v>12</v>
      </c>
      <c r="YA7" s="138"/>
      <c r="YB7" s="138"/>
      <c r="YC7" s="138"/>
      <c r="YD7" s="138"/>
      <c r="YE7" s="148"/>
      <c r="YF7" s="148"/>
      <c r="YG7" s="148"/>
      <c r="YY7" s="141" t="s">
        <v>42</v>
      </c>
      <c r="YZ7" s="152" t="s">
        <v>12</v>
      </c>
      <c r="ZA7" s="153"/>
      <c r="ZB7" s="153"/>
      <c r="ZC7" s="153"/>
      <c r="ZD7" s="153"/>
      <c r="ZE7" s="153"/>
      <c r="ZF7" s="153"/>
      <c r="ZG7" s="153"/>
      <c r="ZH7" s="153"/>
      <c r="ZI7" s="153"/>
      <c r="ZJ7" s="153"/>
      <c r="ZK7" s="154"/>
      <c r="ZL7" s="144" t="s">
        <v>43</v>
      </c>
      <c r="ZM7" s="141" t="s">
        <v>44</v>
      </c>
      <c r="ZN7" s="147" t="s">
        <v>13</v>
      </c>
      <c r="ZO7" s="147" t="s">
        <v>13</v>
      </c>
      <c r="ZP7" s="141" t="s">
        <v>13</v>
      </c>
      <c r="ZQ7" s="141" t="s">
        <v>45</v>
      </c>
      <c r="ZR7" s="144" t="s">
        <v>46</v>
      </c>
      <c r="ZS7" s="39" t="s">
        <v>45</v>
      </c>
      <c r="ZT7" s="39" t="s">
        <v>46</v>
      </c>
      <c r="ZU7" s="144" t="s">
        <v>47</v>
      </c>
      <c r="ZV7" s="144" t="s">
        <v>48</v>
      </c>
      <c r="ZW7" s="20"/>
      <c r="ZX7" s="20"/>
      <c r="ZY7" s="20"/>
      <c r="ZZ7" s="141" t="s">
        <v>14</v>
      </c>
      <c r="AAA7" s="141" t="s">
        <v>38</v>
      </c>
      <c r="AAB7" s="145" t="s">
        <v>49</v>
      </c>
      <c r="AAC7" s="40"/>
      <c r="AAD7" s="144" t="s">
        <v>50</v>
      </c>
      <c r="AAE7" s="144" t="s">
        <v>51</v>
      </c>
      <c r="AAF7" s="144" t="s">
        <v>38</v>
      </c>
      <c r="AAG7" s="146" t="s">
        <v>18</v>
      </c>
      <c r="AAH7" s="139"/>
      <c r="AAI7" s="150" t="s">
        <v>17</v>
      </c>
      <c r="AAJ7" s="157"/>
      <c r="AAM7" s="148" t="s">
        <v>61</v>
      </c>
      <c r="AAN7" s="148" t="s">
        <v>62</v>
      </c>
      <c r="AAO7" s="141" t="s">
        <v>42</v>
      </c>
      <c r="AAP7" s="149" t="s">
        <v>12</v>
      </c>
      <c r="AAQ7" s="149"/>
      <c r="AAR7" s="149"/>
      <c r="AAS7" s="149"/>
      <c r="AAT7" s="149"/>
      <c r="AAU7" s="149"/>
      <c r="AAV7" s="149"/>
      <c r="AAW7" s="149"/>
      <c r="AAX7" s="149"/>
      <c r="AAY7" s="149"/>
      <c r="AAZ7" s="149"/>
      <c r="ABA7" s="149"/>
      <c r="ABB7" s="149"/>
      <c r="ABC7" s="149"/>
      <c r="ABD7" s="149"/>
      <c r="ABE7" s="149"/>
      <c r="ABF7" s="149"/>
      <c r="ABG7" s="149"/>
      <c r="ABH7" s="149"/>
      <c r="ABI7" s="149"/>
      <c r="ABJ7" s="149"/>
      <c r="ABK7" s="149"/>
      <c r="ABL7" s="149"/>
      <c r="ABM7" s="28"/>
      <c r="ABN7" s="141" t="s">
        <v>43</v>
      </c>
      <c r="ABO7" s="143" t="s">
        <v>63</v>
      </c>
      <c r="ABP7" s="141" t="s">
        <v>44</v>
      </c>
      <c r="ABQ7" s="144" t="s">
        <v>64</v>
      </c>
      <c r="ABR7" s="147" t="s">
        <v>13</v>
      </c>
      <c r="ABS7" s="147" t="s">
        <v>13</v>
      </c>
      <c r="ABT7" s="143" t="s">
        <v>65</v>
      </c>
      <c r="ABU7" s="141" t="s">
        <v>13</v>
      </c>
      <c r="ABV7" s="144" t="s">
        <v>64</v>
      </c>
      <c r="ABW7" s="141" t="s">
        <v>45</v>
      </c>
      <c r="ABX7" s="141" t="s">
        <v>46</v>
      </c>
      <c r="ABY7" s="40" t="s">
        <v>45</v>
      </c>
      <c r="ABZ7" s="40" t="s">
        <v>46</v>
      </c>
      <c r="ACA7" s="141" t="s">
        <v>47</v>
      </c>
      <c r="ACB7" s="141" t="s">
        <v>48</v>
      </c>
      <c r="ACC7" s="20"/>
      <c r="ACD7" s="20"/>
      <c r="ACE7" s="20"/>
      <c r="ACF7" s="143" t="s">
        <v>66</v>
      </c>
      <c r="ACG7" s="141" t="s">
        <v>14</v>
      </c>
      <c r="ACH7" s="144" t="s">
        <v>64</v>
      </c>
      <c r="ACI7" s="141" t="s">
        <v>38</v>
      </c>
      <c r="ACJ7" s="145" t="s">
        <v>49</v>
      </c>
      <c r="ACK7" s="40"/>
      <c r="ACL7" s="144" t="s">
        <v>50</v>
      </c>
      <c r="ACM7" s="144" t="s">
        <v>51</v>
      </c>
      <c r="ACN7" s="146" t="s">
        <v>17</v>
      </c>
      <c r="ACO7" s="139" t="s">
        <v>67</v>
      </c>
      <c r="ACP7" s="139" t="s">
        <v>67</v>
      </c>
      <c r="ACQ7" s="141"/>
      <c r="ACR7" s="141" t="s">
        <v>17</v>
      </c>
      <c r="ACS7" s="141" t="s">
        <v>17</v>
      </c>
      <c r="ACT7" s="141"/>
      <c r="ACU7" s="142" t="s">
        <v>68</v>
      </c>
      <c r="ACV7" s="143" t="s">
        <v>69</v>
      </c>
      <c r="ACX7" s="148"/>
      <c r="ACY7" s="159" t="s">
        <v>70</v>
      </c>
      <c r="ACZ7" s="44"/>
      <c r="ADB7" s="148"/>
      <c r="ADC7" s="161"/>
      <c r="ADD7" s="148" t="s">
        <v>58</v>
      </c>
      <c r="ADE7" s="156" t="s">
        <v>59</v>
      </c>
      <c r="ADF7" s="162" t="s">
        <v>12</v>
      </c>
      <c r="ADG7" s="163"/>
      <c r="ADH7" s="163"/>
      <c r="ADI7" s="159"/>
      <c r="ADJ7" s="136" t="s">
        <v>60</v>
      </c>
      <c r="ADK7" s="138" t="s">
        <v>12</v>
      </c>
      <c r="ADL7" s="138"/>
      <c r="ADM7" s="138"/>
      <c r="ADN7" s="138"/>
      <c r="ADO7" s="138"/>
      <c r="ADP7" s="148"/>
      <c r="ADQ7" s="148"/>
      <c r="ADR7" s="148"/>
      <c r="AEG7" s="1" t="s">
        <v>42</v>
      </c>
      <c r="AEH7" s="1" t="s">
        <v>12</v>
      </c>
      <c r="AEV7" s="1" t="s">
        <v>43</v>
      </c>
      <c r="AEW7" s="1" t="s">
        <v>44</v>
      </c>
      <c r="AEX7" s="1" t="s">
        <v>13</v>
      </c>
      <c r="AEY7" s="1" t="s">
        <v>13</v>
      </c>
      <c r="AEZ7" s="1" t="s">
        <v>13</v>
      </c>
      <c r="AFA7" s="1" t="s">
        <v>45</v>
      </c>
      <c r="AFB7" s="1" t="s">
        <v>46</v>
      </c>
      <c r="AFC7" s="1" t="s">
        <v>45</v>
      </c>
      <c r="AFD7" s="1" t="s">
        <v>46</v>
      </c>
      <c r="AFE7" s="1" t="s">
        <v>47</v>
      </c>
      <c r="AFF7" s="1" t="s">
        <v>48</v>
      </c>
      <c r="AFJ7" s="1" t="s">
        <v>14</v>
      </c>
      <c r="AFK7" s="1" t="s">
        <v>38</v>
      </c>
      <c r="AFL7" s="1" t="s">
        <v>49</v>
      </c>
      <c r="AFN7" s="1" t="s">
        <v>50</v>
      </c>
      <c r="AFO7" s="1" t="s">
        <v>51</v>
      </c>
      <c r="AFP7" s="1" t="s">
        <v>17</v>
      </c>
    </row>
    <row r="8" spans="1:856" s="1" customFormat="1" ht="183" customHeight="1">
      <c r="A8" s="138"/>
      <c r="B8" s="138"/>
      <c r="C8" s="145"/>
      <c r="D8" s="159"/>
      <c r="E8" s="138"/>
      <c r="F8" s="138"/>
      <c r="G8" s="160"/>
      <c r="H8" s="20"/>
      <c r="I8" s="138"/>
      <c r="J8" s="138"/>
      <c r="K8" s="138"/>
      <c r="L8" s="45" t="s">
        <v>71</v>
      </c>
      <c r="M8" s="45" t="s">
        <v>72</v>
      </c>
      <c r="N8" s="45" t="s">
        <v>73</v>
      </c>
      <c r="O8" s="46" t="s">
        <v>74</v>
      </c>
      <c r="P8" s="45" t="s">
        <v>75</v>
      </c>
      <c r="Q8" s="45" t="s">
        <v>76</v>
      </c>
      <c r="R8" s="46" t="s">
        <v>77</v>
      </c>
      <c r="S8" s="138"/>
      <c r="T8" s="47" t="s">
        <v>78</v>
      </c>
      <c r="U8" s="45" t="s">
        <v>79</v>
      </c>
      <c r="V8" s="45" t="s">
        <v>80</v>
      </c>
      <c r="W8" s="45" t="s">
        <v>81</v>
      </c>
      <c r="X8" s="45" t="s">
        <v>79</v>
      </c>
      <c r="Y8" s="45" t="s">
        <v>80</v>
      </c>
      <c r="Z8" s="45" t="s">
        <v>82</v>
      </c>
      <c r="AA8" s="45" t="s">
        <v>79</v>
      </c>
      <c r="AB8" s="45" t="s">
        <v>80</v>
      </c>
      <c r="AC8" s="45" t="s">
        <v>83</v>
      </c>
      <c r="AD8" s="46" t="s">
        <v>84</v>
      </c>
      <c r="AE8" s="48" t="s">
        <v>85</v>
      </c>
      <c r="AF8" s="40" t="s">
        <v>86</v>
      </c>
      <c r="AG8" s="40" t="s">
        <v>87</v>
      </c>
      <c r="AH8" s="49" t="s">
        <v>88</v>
      </c>
      <c r="AI8" s="45" t="s">
        <v>89</v>
      </c>
      <c r="AJ8" s="45" t="s">
        <v>90</v>
      </c>
      <c r="AK8" s="50" t="s">
        <v>91</v>
      </c>
      <c r="AL8" s="45" t="s">
        <v>92</v>
      </c>
      <c r="AM8" s="50" t="s">
        <v>93</v>
      </c>
      <c r="AN8" s="49" t="s">
        <v>94</v>
      </c>
      <c r="AO8" s="49" t="s">
        <v>95</v>
      </c>
      <c r="AP8" s="49" t="s">
        <v>96</v>
      </c>
      <c r="AQ8" s="49" t="s">
        <v>94</v>
      </c>
      <c r="AR8" s="49" t="s">
        <v>95</v>
      </c>
      <c r="AS8" s="40" t="s">
        <v>97</v>
      </c>
      <c r="AT8" s="45"/>
      <c r="AU8" s="45" t="s">
        <v>98</v>
      </c>
      <c r="AV8" s="50" t="s">
        <v>91</v>
      </c>
      <c r="AW8" s="45" t="s">
        <v>99</v>
      </c>
      <c r="AX8" s="50" t="s">
        <v>100</v>
      </c>
      <c r="AY8" s="46" t="s">
        <v>101</v>
      </c>
      <c r="AZ8" s="51"/>
      <c r="BA8" s="51"/>
      <c r="BB8" s="51" t="s">
        <v>100</v>
      </c>
      <c r="BC8" s="51" t="s">
        <v>101</v>
      </c>
      <c r="BD8" s="52" t="s">
        <v>102</v>
      </c>
      <c r="BE8" s="50" t="s">
        <v>100</v>
      </c>
      <c r="BF8" s="46" t="s">
        <v>101</v>
      </c>
      <c r="BG8" s="53" t="s">
        <v>103</v>
      </c>
      <c r="BH8" s="54" t="s">
        <v>104</v>
      </c>
      <c r="BI8" s="46" t="s">
        <v>101</v>
      </c>
      <c r="BJ8" s="46" t="s">
        <v>105</v>
      </c>
      <c r="BK8" s="54" t="s">
        <v>106</v>
      </c>
      <c r="BL8" s="46" t="s">
        <v>101</v>
      </c>
      <c r="BM8" s="55" t="s">
        <v>107</v>
      </c>
      <c r="BN8" s="55" t="s">
        <v>108</v>
      </c>
      <c r="BO8" s="54" t="s">
        <v>109</v>
      </c>
      <c r="BP8" s="46" t="s">
        <v>101</v>
      </c>
      <c r="BQ8" s="55" t="s">
        <v>110</v>
      </c>
      <c r="BR8" s="55" t="s">
        <v>108</v>
      </c>
      <c r="BS8" s="54" t="s">
        <v>109</v>
      </c>
      <c r="BT8" s="46" t="s">
        <v>101</v>
      </c>
      <c r="BU8" s="50"/>
      <c r="BW8" s="39" t="s">
        <v>111</v>
      </c>
      <c r="BX8" s="39" t="s">
        <v>112</v>
      </c>
      <c r="BY8" s="50"/>
      <c r="BZ8" s="50"/>
      <c r="CA8" s="50"/>
      <c r="CB8" s="39" t="s">
        <v>113</v>
      </c>
      <c r="CC8" s="50"/>
      <c r="CD8" s="50" t="s">
        <v>114</v>
      </c>
      <c r="CE8" s="50" t="s">
        <v>115</v>
      </c>
      <c r="CF8" s="50" t="s">
        <v>116</v>
      </c>
      <c r="CG8" s="50" t="s">
        <v>116</v>
      </c>
      <c r="CH8" s="50" t="s">
        <v>117</v>
      </c>
      <c r="CI8" s="39" t="s">
        <v>118</v>
      </c>
      <c r="CJ8" s="39" t="s">
        <v>119</v>
      </c>
      <c r="CK8" s="56" t="s">
        <v>120</v>
      </c>
      <c r="CL8" s="56" t="s">
        <v>121</v>
      </c>
      <c r="CM8" s="50"/>
      <c r="CN8" s="39" t="s">
        <v>122</v>
      </c>
      <c r="CO8" s="39" t="s">
        <v>123</v>
      </c>
      <c r="CP8" s="50"/>
      <c r="CQ8" s="50"/>
      <c r="CR8" s="39" t="s">
        <v>124</v>
      </c>
      <c r="CS8" s="50"/>
      <c r="CT8" s="50" t="s">
        <v>125</v>
      </c>
      <c r="CU8" s="50" t="s">
        <v>126</v>
      </c>
      <c r="CV8" s="50" t="s">
        <v>127</v>
      </c>
      <c r="CW8" s="50" t="s">
        <v>128</v>
      </c>
      <c r="CX8" s="39" t="s">
        <v>129</v>
      </c>
      <c r="CY8" s="39" t="s">
        <v>130</v>
      </c>
      <c r="CZ8" s="56" t="s">
        <v>131</v>
      </c>
      <c r="DA8" s="56" t="s">
        <v>132</v>
      </c>
      <c r="DB8" s="50"/>
      <c r="DC8" s="39" t="s">
        <v>133</v>
      </c>
      <c r="DD8" s="39" t="s">
        <v>134</v>
      </c>
      <c r="DE8" s="50"/>
      <c r="DF8" s="50"/>
      <c r="DG8" s="50"/>
      <c r="DH8" s="39" t="s">
        <v>135</v>
      </c>
      <c r="DI8" s="50"/>
      <c r="DJ8" s="50" t="s">
        <v>136</v>
      </c>
      <c r="DK8" s="50" t="s">
        <v>137</v>
      </c>
      <c r="DL8" s="50" t="s">
        <v>138</v>
      </c>
      <c r="DM8" s="50" t="s">
        <v>139</v>
      </c>
      <c r="DN8" s="39" t="s">
        <v>140</v>
      </c>
      <c r="DO8" s="39" t="s">
        <v>141</v>
      </c>
      <c r="DP8" s="56" t="s">
        <v>142</v>
      </c>
      <c r="DQ8" s="56" t="s">
        <v>143</v>
      </c>
      <c r="DR8" s="50"/>
      <c r="DS8" s="39" t="s">
        <v>144</v>
      </c>
      <c r="DT8" s="39" t="s">
        <v>145</v>
      </c>
      <c r="DU8" s="50"/>
      <c r="DV8" s="50"/>
      <c r="DW8" s="39" t="s">
        <v>146</v>
      </c>
      <c r="DX8" s="50"/>
      <c r="DY8" s="50" t="s">
        <v>147</v>
      </c>
      <c r="DZ8" s="50" t="s">
        <v>148</v>
      </c>
      <c r="EA8" s="50" t="s">
        <v>149</v>
      </c>
      <c r="EB8" s="39" t="s">
        <v>150</v>
      </c>
      <c r="EC8" s="39" t="s">
        <v>151</v>
      </c>
      <c r="ED8" s="56" t="s">
        <v>152</v>
      </c>
      <c r="EE8" s="56" t="s">
        <v>153</v>
      </c>
      <c r="EF8" s="50"/>
      <c r="EG8" s="39" t="s">
        <v>154</v>
      </c>
      <c r="EH8" s="39" t="s">
        <v>155</v>
      </c>
      <c r="EI8" s="50"/>
      <c r="EJ8" s="50"/>
      <c r="EK8" s="39" t="s">
        <v>156</v>
      </c>
      <c r="EL8" s="50"/>
      <c r="EM8" s="50" t="s">
        <v>114</v>
      </c>
      <c r="EN8" s="50" t="s">
        <v>115</v>
      </c>
      <c r="EO8" s="50" t="s">
        <v>116</v>
      </c>
      <c r="EP8" s="50" t="s">
        <v>117</v>
      </c>
      <c r="EQ8" s="39" t="s">
        <v>157</v>
      </c>
      <c r="ER8" s="39" t="s">
        <v>119</v>
      </c>
      <c r="ES8" s="56" t="s">
        <v>158</v>
      </c>
      <c r="ET8" s="56" t="s">
        <v>159</v>
      </c>
      <c r="EU8" s="50"/>
      <c r="EV8" s="39" t="s">
        <v>160</v>
      </c>
      <c r="EW8" s="39" t="s">
        <v>161</v>
      </c>
      <c r="EX8" s="50"/>
      <c r="EY8" s="50"/>
      <c r="EZ8" s="39" t="s">
        <v>162</v>
      </c>
      <c r="FA8" s="50"/>
      <c r="FB8" s="50" t="s">
        <v>125</v>
      </c>
      <c r="FC8" s="50" t="s">
        <v>126</v>
      </c>
      <c r="FD8" s="50" t="s">
        <v>163</v>
      </c>
      <c r="FE8" s="50" t="s">
        <v>128</v>
      </c>
      <c r="FF8" s="39" t="s">
        <v>129</v>
      </c>
      <c r="FG8" s="39" t="s">
        <v>130</v>
      </c>
      <c r="FH8" s="56" t="s">
        <v>131</v>
      </c>
      <c r="FI8" s="56" t="s">
        <v>132</v>
      </c>
      <c r="FJ8" s="50"/>
      <c r="FK8" s="39" t="s">
        <v>133</v>
      </c>
      <c r="FL8" s="39" t="s">
        <v>134</v>
      </c>
      <c r="FM8" s="50"/>
      <c r="FN8" s="50"/>
      <c r="FO8" s="39" t="s">
        <v>135</v>
      </c>
      <c r="FP8" s="50"/>
      <c r="FQ8" s="50" t="s">
        <v>136</v>
      </c>
      <c r="FR8" s="50" t="s">
        <v>137</v>
      </c>
      <c r="FS8" s="50" t="s">
        <v>164</v>
      </c>
      <c r="FT8" s="50" t="s">
        <v>139</v>
      </c>
      <c r="FU8" s="50" t="s">
        <v>165</v>
      </c>
      <c r="FV8" s="50" t="s">
        <v>139</v>
      </c>
      <c r="FW8" s="39" t="s">
        <v>140</v>
      </c>
      <c r="FX8" s="39" t="s">
        <v>141</v>
      </c>
      <c r="FY8" s="56" t="s">
        <v>142</v>
      </c>
      <c r="FZ8" s="56" t="s">
        <v>143</v>
      </c>
      <c r="GA8" s="50"/>
      <c r="GB8" s="39" t="s">
        <v>144</v>
      </c>
      <c r="GC8" s="39" t="s">
        <v>145</v>
      </c>
      <c r="GD8" s="50"/>
      <c r="GE8" s="50"/>
      <c r="GF8" s="39" t="s">
        <v>146</v>
      </c>
      <c r="GG8" s="50"/>
      <c r="GH8" s="50" t="s">
        <v>147</v>
      </c>
      <c r="GI8" s="50" t="s">
        <v>148</v>
      </c>
      <c r="GJ8" s="50" t="s">
        <v>149</v>
      </c>
      <c r="GK8" s="39" t="s">
        <v>150</v>
      </c>
      <c r="GL8" s="39" t="s">
        <v>151</v>
      </c>
      <c r="GM8" s="56" t="s">
        <v>152</v>
      </c>
      <c r="GN8" s="56" t="s">
        <v>153</v>
      </c>
      <c r="GO8" s="39" t="s">
        <v>166</v>
      </c>
      <c r="GP8" s="39" t="s">
        <v>167</v>
      </c>
      <c r="GQ8" s="39" t="s">
        <v>168</v>
      </c>
      <c r="GR8" s="39" t="s">
        <v>169</v>
      </c>
      <c r="GS8" s="39" t="s">
        <v>170</v>
      </c>
      <c r="GT8" s="46" t="s">
        <v>171</v>
      </c>
      <c r="GU8" s="56" t="s">
        <v>172</v>
      </c>
      <c r="GV8" s="56" t="s">
        <v>173</v>
      </c>
      <c r="GW8" s="56" t="s">
        <v>174</v>
      </c>
      <c r="GX8" s="46" t="s">
        <v>171</v>
      </c>
      <c r="GY8" s="56" t="s">
        <v>175</v>
      </c>
      <c r="GZ8" s="56" t="s">
        <v>176</v>
      </c>
      <c r="HA8" s="56" t="s">
        <v>177</v>
      </c>
      <c r="HB8" s="46" t="s">
        <v>171</v>
      </c>
      <c r="HC8" s="56" t="s">
        <v>178</v>
      </c>
      <c r="HD8" s="56" t="s">
        <v>179</v>
      </c>
      <c r="HE8" s="56" t="s">
        <v>180</v>
      </c>
      <c r="HF8" s="46" t="s">
        <v>171</v>
      </c>
      <c r="HG8" s="55"/>
      <c r="HH8" s="55"/>
      <c r="HI8" s="50"/>
      <c r="HJ8" s="50" t="s">
        <v>181</v>
      </c>
      <c r="HK8" s="50"/>
      <c r="HL8" s="50" t="s">
        <v>182</v>
      </c>
      <c r="HM8" s="50"/>
      <c r="HN8" s="39" t="s">
        <v>183</v>
      </c>
      <c r="HO8" s="50"/>
      <c r="HP8" s="56" t="s">
        <v>184</v>
      </c>
      <c r="HQ8" s="50"/>
      <c r="HR8" s="56" t="s">
        <v>185</v>
      </c>
      <c r="HS8" s="50"/>
      <c r="HT8" s="50" t="s">
        <v>186</v>
      </c>
      <c r="HU8" s="39" t="s">
        <v>187</v>
      </c>
      <c r="HV8" s="50"/>
      <c r="HW8" s="50"/>
      <c r="HX8" s="50" t="s">
        <v>188</v>
      </c>
      <c r="HY8" s="40" t="s">
        <v>189</v>
      </c>
      <c r="HZ8" s="39" t="s">
        <v>190</v>
      </c>
      <c r="IA8" s="39"/>
      <c r="IB8" s="39"/>
      <c r="IC8" s="50" t="s">
        <v>191</v>
      </c>
      <c r="ID8" s="50"/>
      <c r="IE8" s="50" t="s">
        <v>192</v>
      </c>
      <c r="IF8" s="46" t="s">
        <v>193</v>
      </c>
      <c r="IG8" s="48" t="s">
        <v>194</v>
      </c>
      <c r="IH8" s="49" t="s">
        <v>193</v>
      </c>
      <c r="II8" s="49" t="s">
        <v>193</v>
      </c>
      <c r="IJ8" s="56" t="s">
        <v>195</v>
      </c>
      <c r="IK8" s="49" t="s">
        <v>193</v>
      </c>
      <c r="IL8" s="56" t="s">
        <v>196</v>
      </c>
      <c r="IM8" s="49" t="s">
        <v>193</v>
      </c>
      <c r="IN8" s="55" t="s">
        <v>197</v>
      </c>
      <c r="IO8" s="49" t="s">
        <v>193</v>
      </c>
      <c r="IP8" s="50"/>
      <c r="IQ8" s="39" t="s">
        <v>198</v>
      </c>
      <c r="IR8" s="39" t="s">
        <v>199</v>
      </c>
      <c r="IS8" s="50"/>
      <c r="IT8" s="50"/>
      <c r="IU8" s="50"/>
      <c r="IV8" s="50"/>
      <c r="IW8" s="50"/>
      <c r="IX8" s="39" t="s">
        <v>200</v>
      </c>
      <c r="IY8" s="50"/>
      <c r="IZ8" s="50" t="s">
        <v>201</v>
      </c>
      <c r="JA8" s="50" t="s">
        <v>202</v>
      </c>
      <c r="JB8" s="39" t="s">
        <v>203</v>
      </c>
      <c r="JC8" s="39" t="s">
        <v>204</v>
      </c>
      <c r="JD8" s="56" t="s">
        <v>205</v>
      </c>
      <c r="JE8" s="56" t="s">
        <v>206</v>
      </c>
      <c r="JF8" s="50"/>
      <c r="JG8" s="39" t="s">
        <v>207</v>
      </c>
      <c r="JH8" s="39" t="s">
        <v>208</v>
      </c>
      <c r="JI8" s="50"/>
      <c r="JJ8" s="50"/>
      <c r="JK8" s="50"/>
      <c r="JL8" s="39" t="s">
        <v>209</v>
      </c>
      <c r="JM8" s="50"/>
      <c r="JN8" s="50" t="s">
        <v>210</v>
      </c>
      <c r="JO8" s="50" t="s">
        <v>211</v>
      </c>
      <c r="JP8" s="39" t="s">
        <v>212</v>
      </c>
      <c r="JQ8" s="39" t="s">
        <v>213</v>
      </c>
      <c r="JR8" s="56" t="s">
        <v>214</v>
      </c>
      <c r="JS8" s="56" t="s">
        <v>215</v>
      </c>
      <c r="JT8" s="50"/>
      <c r="JU8" s="50" t="s">
        <v>216</v>
      </c>
      <c r="JV8" s="50" t="s">
        <v>149</v>
      </c>
      <c r="JW8" s="39" t="s">
        <v>150</v>
      </c>
      <c r="JX8" s="39" t="s">
        <v>151</v>
      </c>
      <c r="JY8" s="56" t="s">
        <v>152</v>
      </c>
      <c r="JZ8" s="56" t="s">
        <v>153</v>
      </c>
      <c r="KA8" s="50"/>
      <c r="KB8" s="50" t="s">
        <v>217</v>
      </c>
      <c r="KC8" s="39" t="s">
        <v>218</v>
      </c>
      <c r="KD8" s="50"/>
      <c r="KE8" s="50"/>
      <c r="KF8" s="50"/>
      <c r="KG8" s="50" t="s">
        <v>219</v>
      </c>
      <c r="KH8" s="50" t="s">
        <v>220</v>
      </c>
      <c r="KI8" s="50"/>
      <c r="KJ8" s="50"/>
      <c r="KK8" s="50" t="s">
        <v>221</v>
      </c>
      <c r="KL8" s="50"/>
      <c r="KM8" s="39" t="s">
        <v>222</v>
      </c>
      <c r="KN8" s="39" t="s">
        <v>223</v>
      </c>
      <c r="KO8" s="50" t="s">
        <v>224</v>
      </c>
      <c r="KP8" s="50"/>
      <c r="KQ8" s="50"/>
      <c r="KR8" s="39" t="s">
        <v>220</v>
      </c>
      <c r="KS8" s="50"/>
      <c r="KT8" s="50" t="s">
        <v>225</v>
      </c>
      <c r="KU8" s="50" t="s">
        <v>226</v>
      </c>
      <c r="KV8" s="50" t="s">
        <v>227</v>
      </c>
      <c r="KW8" s="39" t="s">
        <v>228</v>
      </c>
      <c r="KX8" s="39" t="s">
        <v>229</v>
      </c>
      <c r="KY8" s="56" t="s">
        <v>230</v>
      </c>
      <c r="KZ8" s="56" t="s">
        <v>231</v>
      </c>
      <c r="LA8" s="39" t="s">
        <v>232</v>
      </c>
      <c r="LB8" s="46" t="s">
        <v>233</v>
      </c>
      <c r="LC8" s="48" t="s">
        <v>234</v>
      </c>
      <c r="LD8" s="48" t="s">
        <v>233</v>
      </c>
      <c r="LE8" s="48" t="s">
        <v>235</v>
      </c>
      <c r="LF8" s="46" t="s">
        <v>233</v>
      </c>
      <c r="LG8" s="56" t="s">
        <v>236</v>
      </c>
      <c r="LH8" s="56" t="s">
        <v>235</v>
      </c>
      <c r="LI8" s="46" t="s">
        <v>233</v>
      </c>
      <c r="LJ8" s="56" t="s">
        <v>236</v>
      </c>
      <c r="LK8" s="46" t="s">
        <v>233</v>
      </c>
      <c r="LL8" s="56" t="s">
        <v>237</v>
      </c>
      <c r="LM8" s="46" t="s">
        <v>233</v>
      </c>
      <c r="LN8" s="46" t="s">
        <v>238</v>
      </c>
      <c r="LO8" s="56" t="s">
        <v>239</v>
      </c>
      <c r="LP8" s="46" t="s">
        <v>240</v>
      </c>
      <c r="LQ8" s="56" t="s">
        <v>241</v>
      </c>
      <c r="LR8" s="50"/>
      <c r="LS8" s="50" t="s">
        <v>242</v>
      </c>
      <c r="LT8" s="50" t="s">
        <v>243</v>
      </c>
      <c r="LU8" s="50"/>
      <c r="LV8" s="39" t="s">
        <v>244</v>
      </c>
      <c r="LW8" s="56" t="s">
        <v>245</v>
      </c>
      <c r="LX8" s="50"/>
      <c r="LY8" s="50" t="s">
        <v>246</v>
      </c>
      <c r="LZ8" s="50" t="s">
        <v>247</v>
      </c>
      <c r="MA8" s="50"/>
      <c r="MB8" s="39" t="s">
        <v>248</v>
      </c>
      <c r="MC8" s="56" t="s">
        <v>249</v>
      </c>
      <c r="MD8" s="50"/>
      <c r="ME8" s="50" t="s">
        <v>250</v>
      </c>
      <c r="MF8" s="50" t="s">
        <v>251</v>
      </c>
      <c r="MG8" s="50"/>
      <c r="MH8" s="39" t="s">
        <v>252</v>
      </c>
      <c r="MI8" s="56" t="s">
        <v>253</v>
      </c>
      <c r="MJ8" s="50"/>
      <c r="MK8" s="50" t="s">
        <v>254</v>
      </c>
      <c r="ML8" s="50" t="s">
        <v>255</v>
      </c>
      <c r="MM8" s="50"/>
      <c r="MN8" s="39" t="s">
        <v>141</v>
      </c>
      <c r="MO8" s="56" t="s">
        <v>256</v>
      </c>
      <c r="MP8" s="39" t="s">
        <v>257</v>
      </c>
      <c r="MQ8" s="46" t="s">
        <v>258</v>
      </c>
      <c r="MR8" s="56" t="s">
        <v>259</v>
      </c>
      <c r="MS8" s="46" t="s">
        <v>258</v>
      </c>
      <c r="MT8" s="46" t="s">
        <v>260</v>
      </c>
      <c r="MU8" s="39" t="s">
        <v>261</v>
      </c>
      <c r="MV8" s="48" t="s">
        <v>262</v>
      </c>
      <c r="MW8" s="46" t="s">
        <v>260</v>
      </c>
      <c r="MX8" s="56" t="s">
        <v>263</v>
      </c>
      <c r="MY8" s="46" t="s">
        <v>260</v>
      </c>
      <c r="MZ8" s="56" t="s">
        <v>264</v>
      </c>
      <c r="NA8" s="46" t="s">
        <v>265</v>
      </c>
      <c r="NB8" s="39" t="s">
        <v>266</v>
      </c>
      <c r="NC8" s="48" t="s">
        <v>267</v>
      </c>
      <c r="ND8" s="46" t="s">
        <v>265</v>
      </c>
      <c r="NE8" s="56" t="s">
        <v>268</v>
      </c>
      <c r="NF8" s="46" t="s">
        <v>265</v>
      </c>
      <c r="NG8" s="56" t="s">
        <v>269</v>
      </c>
      <c r="NH8" s="46"/>
      <c r="NI8" s="46" t="s">
        <v>270</v>
      </c>
      <c r="NJ8" s="39" t="s">
        <v>271</v>
      </c>
      <c r="NK8" s="39" t="s">
        <v>272</v>
      </c>
      <c r="NL8" s="46" t="s">
        <v>270</v>
      </c>
      <c r="NM8" s="56" t="s">
        <v>273</v>
      </c>
      <c r="NN8" s="46" t="s">
        <v>270</v>
      </c>
      <c r="NO8" s="56" t="s">
        <v>274</v>
      </c>
      <c r="NP8" s="46" t="s">
        <v>275</v>
      </c>
      <c r="NQ8" s="39" t="s">
        <v>276</v>
      </c>
      <c r="NR8" s="39" t="s">
        <v>277</v>
      </c>
      <c r="NS8" s="46" t="s">
        <v>275</v>
      </c>
      <c r="NT8" s="56" t="s">
        <v>278</v>
      </c>
      <c r="NU8" s="46" t="s">
        <v>270</v>
      </c>
      <c r="NV8" s="56" t="s">
        <v>279</v>
      </c>
      <c r="NW8" s="46" t="s">
        <v>280</v>
      </c>
      <c r="NX8" s="39" t="s">
        <v>281</v>
      </c>
      <c r="NY8" s="39" t="s">
        <v>282</v>
      </c>
      <c r="NZ8" s="46" t="s">
        <v>283</v>
      </c>
      <c r="OA8" s="56" t="s">
        <v>284</v>
      </c>
      <c r="OB8" s="46" t="s">
        <v>283</v>
      </c>
      <c r="OC8" s="56" t="s">
        <v>285</v>
      </c>
      <c r="OD8" s="39" t="s">
        <v>286</v>
      </c>
      <c r="OE8" s="46" t="s">
        <v>287</v>
      </c>
      <c r="OF8" s="48" t="s">
        <v>288</v>
      </c>
      <c r="OG8" s="57" t="s">
        <v>100</v>
      </c>
      <c r="OH8" s="57" t="s">
        <v>101</v>
      </c>
      <c r="OI8" s="56" t="s">
        <v>289</v>
      </c>
      <c r="OJ8" s="46" t="s">
        <v>287</v>
      </c>
      <c r="OK8" s="56" t="s">
        <v>290</v>
      </c>
      <c r="OL8" s="46" t="s">
        <v>287</v>
      </c>
      <c r="OM8" s="46"/>
      <c r="ON8" s="54" t="s">
        <v>286</v>
      </c>
      <c r="OO8" s="46" t="s">
        <v>287</v>
      </c>
      <c r="OP8" s="58" t="s">
        <v>291</v>
      </c>
      <c r="OQ8" s="58" t="s">
        <v>287</v>
      </c>
      <c r="OR8" s="58"/>
      <c r="OS8" s="58"/>
      <c r="OT8" s="59" t="s">
        <v>286</v>
      </c>
      <c r="OU8" s="46" t="s">
        <v>287</v>
      </c>
      <c r="OV8" s="40" t="s">
        <v>292</v>
      </c>
      <c r="OW8" s="59" t="s">
        <v>292</v>
      </c>
      <c r="OX8" s="46" t="s">
        <v>287</v>
      </c>
      <c r="OY8" s="46" t="s">
        <v>287</v>
      </c>
      <c r="OZ8" s="46"/>
      <c r="PA8" s="46" t="s">
        <v>293</v>
      </c>
      <c r="PB8" s="39" t="s">
        <v>294</v>
      </c>
      <c r="PC8" s="39" t="s">
        <v>295</v>
      </c>
      <c r="PD8" s="46" t="s">
        <v>293</v>
      </c>
      <c r="PE8" s="56" t="s">
        <v>294</v>
      </c>
      <c r="PF8" s="50" t="s">
        <v>296</v>
      </c>
      <c r="PG8" s="46" t="s">
        <v>297</v>
      </c>
      <c r="PH8" s="56" t="s">
        <v>298</v>
      </c>
      <c r="PI8" s="46" t="s">
        <v>297</v>
      </c>
      <c r="PJ8" s="56" t="s">
        <v>299</v>
      </c>
      <c r="PK8" s="46" t="s">
        <v>297</v>
      </c>
      <c r="PL8" s="55"/>
      <c r="PM8" s="39" t="s">
        <v>300</v>
      </c>
      <c r="PN8" s="46" t="s">
        <v>301</v>
      </c>
      <c r="PO8" s="48" t="s">
        <v>302</v>
      </c>
      <c r="PP8" s="56" t="s">
        <v>303</v>
      </c>
      <c r="PQ8" s="46" t="s">
        <v>301</v>
      </c>
      <c r="PR8" s="56" t="s">
        <v>304</v>
      </c>
      <c r="PS8" s="46" t="s">
        <v>301</v>
      </c>
      <c r="PT8" s="50" t="s">
        <v>305</v>
      </c>
      <c r="PU8" s="46" t="s">
        <v>306</v>
      </c>
      <c r="PV8" s="56" t="s">
        <v>307</v>
      </c>
      <c r="PW8" s="46" t="s">
        <v>306</v>
      </c>
      <c r="PX8" s="56" t="s">
        <v>308</v>
      </c>
      <c r="PY8" s="46" t="s">
        <v>306</v>
      </c>
      <c r="PZ8" s="39" t="s">
        <v>309</v>
      </c>
      <c r="QA8" s="46" t="s">
        <v>310</v>
      </c>
      <c r="QB8" s="48" t="s">
        <v>311</v>
      </c>
      <c r="QC8" s="56" t="s">
        <v>312</v>
      </c>
      <c r="QD8" s="46" t="s">
        <v>310</v>
      </c>
      <c r="QE8" s="56" t="s">
        <v>313</v>
      </c>
      <c r="QF8" s="46" t="s">
        <v>310</v>
      </c>
      <c r="QG8" s="50" t="s">
        <v>296</v>
      </c>
      <c r="QH8" s="46" t="s">
        <v>314</v>
      </c>
      <c r="QI8" s="48" t="s">
        <v>315</v>
      </c>
      <c r="QJ8" s="50" t="s">
        <v>316</v>
      </c>
      <c r="QK8" s="50"/>
      <c r="QL8" s="50" t="s">
        <v>317</v>
      </c>
      <c r="QM8" s="50"/>
      <c r="QN8" s="50" t="s">
        <v>48</v>
      </c>
      <c r="QO8" s="50" t="s">
        <v>318</v>
      </c>
      <c r="QP8" s="50" t="s">
        <v>319</v>
      </c>
      <c r="QQ8" s="39" t="s">
        <v>320</v>
      </c>
      <c r="QR8" s="39" t="s">
        <v>320</v>
      </c>
      <c r="QS8" s="39"/>
      <c r="QT8" s="50"/>
      <c r="QU8" s="50"/>
      <c r="QV8" s="50"/>
      <c r="QW8" s="50" t="s">
        <v>321</v>
      </c>
      <c r="QX8" s="50" t="s">
        <v>322</v>
      </c>
      <c r="QY8" s="50"/>
      <c r="QZ8" s="50"/>
      <c r="RA8" s="50"/>
      <c r="RB8" s="39" t="s">
        <v>323</v>
      </c>
      <c r="RC8" s="39" t="s">
        <v>324</v>
      </c>
      <c r="RD8" s="40" t="s">
        <v>314</v>
      </c>
      <c r="RE8" s="56" t="s">
        <v>298</v>
      </c>
      <c r="RF8" s="46" t="s">
        <v>314</v>
      </c>
      <c r="RG8" s="56" t="s">
        <v>105</v>
      </c>
      <c r="RH8" s="56" t="s">
        <v>299</v>
      </c>
      <c r="RI8" s="46" t="s">
        <v>314</v>
      </c>
      <c r="RJ8" s="55"/>
      <c r="RK8" s="55"/>
      <c r="RL8" s="55"/>
      <c r="RM8" s="56" t="s">
        <v>325</v>
      </c>
      <c r="RN8" s="50" t="s">
        <v>326</v>
      </c>
      <c r="RO8" s="50"/>
      <c r="RP8" s="60"/>
      <c r="RQ8" s="61" t="s">
        <v>327</v>
      </c>
      <c r="RR8" s="60" t="s">
        <v>328</v>
      </c>
      <c r="RS8" s="60" t="s">
        <v>329</v>
      </c>
      <c r="RT8" s="50" t="s">
        <v>330</v>
      </c>
      <c r="RU8" s="50" t="s">
        <v>331</v>
      </c>
      <c r="RV8" s="50"/>
      <c r="RW8" s="50" t="s">
        <v>332</v>
      </c>
      <c r="RX8" s="39" t="s">
        <v>333</v>
      </c>
      <c r="RY8" s="39" t="s">
        <v>331</v>
      </c>
      <c r="RZ8" s="60" t="s">
        <v>334</v>
      </c>
      <c r="SA8" s="60" t="s">
        <v>335</v>
      </c>
      <c r="SB8" s="60" t="s">
        <v>335</v>
      </c>
      <c r="SC8" s="60" t="s">
        <v>336</v>
      </c>
      <c r="SD8" s="50" t="s">
        <v>334</v>
      </c>
      <c r="SE8" s="39"/>
      <c r="SF8" s="39" t="s">
        <v>334</v>
      </c>
      <c r="SG8" s="39" t="s">
        <v>337</v>
      </c>
      <c r="SH8" s="39" t="s">
        <v>338</v>
      </c>
      <c r="SI8" s="50"/>
      <c r="SJ8" s="50"/>
      <c r="SK8" s="50"/>
      <c r="SL8" s="50"/>
      <c r="SM8" s="50"/>
      <c r="SN8" s="60" t="s">
        <v>339</v>
      </c>
      <c r="SO8" s="62" t="s">
        <v>340</v>
      </c>
      <c r="SP8" s="39" t="s">
        <v>323</v>
      </c>
      <c r="SQ8" s="39" t="s">
        <v>341</v>
      </c>
      <c r="SR8" s="39"/>
      <c r="SS8" s="39"/>
      <c r="ST8" s="39" t="s">
        <v>342</v>
      </c>
      <c r="SU8" s="39" t="s">
        <v>343</v>
      </c>
      <c r="SV8" s="39"/>
      <c r="SW8" s="39"/>
      <c r="SX8" s="39" t="s">
        <v>344</v>
      </c>
      <c r="SY8" s="39" t="s">
        <v>343</v>
      </c>
      <c r="SZ8" s="39"/>
      <c r="TA8" s="39"/>
      <c r="TB8" s="39"/>
      <c r="TC8" s="50" t="s">
        <v>345</v>
      </c>
      <c r="TD8" s="50" t="s">
        <v>346</v>
      </c>
      <c r="TE8" s="50" t="s">
        <v>347</v>
      </c>
      <c r="TF8" s="50"/>
      <c r="TG8" s="50" t="s">
        <v>348</v>
      </c>
      <c r="TH8" s="63"/>
      <c r="TI8" s="63" t="s">
        <v>349</v>
      </c>
      <c r="TJ8" s="63"/>
      <c r="TK8" s="63" t="s">
        <v>350</v>
      </c>
      <c r="TL8" s="63" t="s">
        <v>351</v>
      </c>
      <c r="TM8" s="63" t="s">
        <v>352</v>
      </c>
      <c r="TN8" s="63" t="s">
        <v>353</v>
      </c>
      <c r="TO8" s="63" t="s">
        <v>354</v>
      </c>
      <c r="TP8" s="63"/>
      <c r="TQ8" s="63"/>
      <c r="TR8" s="45"/>
      <c r="TS8" s="45"/>
      <c r="TT8" s="45"/>
      <c r="TU8" s="45"/>
      <c r="TV8" s="64"/>
      <c r="TW8" s="64"/>
      <c r="TX8" s="64"/>
      <c r="TY8" s="64"/>
      <c r="TZ8" s="64"/>
      <c r="UA8" s="64"/>
      <c r="UB8" s="65" t="s">
        <v>355</v>
      </c>
      <c r="UC8" s="65" t="s">
        <v>356</v>
      </c>
      <c r="UD8" s="65" t="s">
        <v>357</v>
      </c>
      <c r="UE8" s="65" t="s">
        <v>358</v>
      </c>
      <c r="UF8" s="65" t="s">
        <v>359</v>
      </c>
      <c r="UG8" s="65" t="s">
        <v>360</v>
      </c>
      <c r="UH8" s="65" t="s">
        <v>361</v>
      </c>
      <c r="UI8" s="65" t="s">
        <v>362</v>
      </c>
      <c r="UJ8" s="65" t="s">
        <v>363</v>
      </c>
      <c r="UK8" s="65" t="s">
        <v>364</v>
      </c>
      <c r="UL8" s="65" t="s">
        <v>365</v>
      </c>
      <c r="UN8" s="65" t="s">
        <v>366</v>
      </c>
      <c r="UO8" s="40" t="s">
        <v>367</v>
      </c>
      <c r="UP8" s="65" t="s">
        <v>368</v>
      </c>
      <c r="UQ8" s="43" t="s">
        <v>367</v>
      </c>
      <c r="UR8" s="60"/>
      <c r="US8" s="56" t="s">
        <v>328</v>
      </c>
      <c r="UT8" s="39"/>
      <c r="UU8" s="56" t="s">
        <v>369</v>
      </c>
      <c r="UV8" s="60"/>
      <c r="UW8" s="141"/>
      <c r="UX8" s="40" t="s">
        <v>343</v>
      </c>
      <c r="UY8" s="40" t="s">
        <v>370</v>
      </c>
      <c r="UZ8" s="66" t="s">
        <v>343</v>
      </c>
      <c r="VA8" s="40" t="s">
        <v>371</v>
      </c>
      <c r="VB8" s="40" t="s">
        <v>372</v>
      </c>
      <c r="VC8" s="40" t="s">
        <v>373</v>
      </c>
      <c r="VD8" s="40" t="s">
        <v>374</v>
      </c>
      <c r="VE8" s="40" t="s">
        <v>375</v>
      </c>
      <c r="VF8" s="40" t="s">
        <v>376</v>
      </c>
      <c r="VG8" s="40" t="s">
        <v>377</v>
      </c>
      <c r="VH8" s="40" t="s">
        <v>378</v>
      </c>
      <c r="VI8" s="40" t="s">
        <v>254</v>
      </c>
      <c r="VJ8" s="40" t="s">
        <v>379</v>
      </c>
      <c r="VK8" s="141"/>
      <c r="VL8" s="141"/>
      <c r="VM8" s="141"/>
      <c r="VN8" s="141"/>
      <c r="VO8" s="140"/>
      <c r="VP8" s="67"/>
      <c r="VQ8" s="67"/>
      <c r="VR8" s="140"/>
      <c r="VS8" s="140"/>
      <c r="VT8" s="40"/>
      <c r="VU8" s="40"/>
      <c r="VV8" s="40"/>
      <c r="VW8" s="141"/>
      <c r="VX8" s="141"/>
      <c r="VY8" s="145"/>
      <c r="VZ8" s="40"/>
      <c r="WA8" s="140"/>
      <c r="WB8" s="140"/>
      <c r="WC8" s="141"/>
      <c r="WD8" s="68"/>
      <c r="WE8" s="158"/>
      <c r="WF8" s="39"/>
      <c r="WG8" s="50" t="s">
        <v>380</v>
      </c>
      <c r="WH8" s="50" t="s">
        <v>381</v>
      </c>
      <c r="WI8" s="50" t="s">
        <v>382</v>
      </c>
      <c r="WJ8" s="50" t="s">
        <v>383</v>
      </c>
      <c r="WK8" s="40" t="s">
        <v>286</v>
      </c>
      <c r="WL8" s="40" t="s">
        <v>287</v>
      </c>
      <c r="WM8" s="39" t="s">
        <v>286</v>
      </c>
      <c r="WN8" s="46" t="s">
        <v>287</v>
      </c>
      <c r="WO8" s="67"/>
      <c r="WP8" s="140"/>
      <c r="WQ8" s="141"/>
      <c r="WR8" s="140"/>
      <c r="WS8" s="140"/>
      <c r="WT8" s="140"/>
      <c r="WU8" s="67" t="s">
        <v>296</v>
      </c>
      <c r="WV8" s="67"/>
      <c r="WW8" s="40"/>
      <c r="WX8" s="40"/>
      <c r="WY8" s="40"/>
      <c r="WZ8" s="45" t="s">
        <v>384</v>
      </c>
      <c r="XA8" s="45" t="s">
        <v>385</v>
      </c>
      <c r="XB8" s="69" t="s">
        <v>46</v>
      </c>
      <c r="XF8" s="138"/>
      <c r="XG8" s="138"/>
      <c r="XH8" s="47" t="s">
        <v>386</v>
      </c>
      <c r="XI8" s="45" t="s">
        <v>387</v>
      </c>
      <c r="XJ8" s="45" t="s">
        <v>388</v>
      </c>
      <c r="XK8" s="45" t="s">
        <v>389</v>
      </c>
      <c r="XL8" s="64" t="s">
        <v>351</v>
      </c>
      <c r="XM8" s="148"/>
      <c r="XN8" s="70" t="s">
        <v>390</v>
      </c>
      <c r="XO8" s="65" t="s">
        <v>51</v>
      </c>
      <c r="XP8" s="65" t="s">
        <v>51</v>
      </c>
      <c r="XQ8" s="65" t="s">
        <v>390</v>
      </c>
      <c r="XR8" s="71"/>
      <c r="XS8" s="148"/>
      <c r="XT8" s="155"/>
      <c r="XU8" s="148"/>
      <c r="XV8" s="155"/>
      <c r="XW8" s="72" t="s">
        <v>391</v>
      </c>
      <c r="XX8" s="72" t="s">
        <v>373</v>
      </c>
      <c r="XY8" s="137"/>
      <c r="XZ8" s="72" t="s">
        <v>392</v>
      </c>
      <c r="YA8" s="72" t="s">
        <v>349</v>
      </c>
      <c r="YB8" s="72" t="s">
        <v>374</v>
      </c>
      <c r="YC8" s="72" t="s">
        <v>393</v>
      </c>
      <c r="YD8" s="72" t="s">
        <v>394</v>
      </c>
      <c r="YE8" s="148"/>
      <c r="YF8" s="148"/>
      <c r="YG8" s="148"/>
      <c r="YI8" s="65" t="s">
        <v>395</v>
      </c>
      <c r="YK8" s="40" t="s">
        <v>396</v>
      </c>
      <c r="YL8" s="40" t="s">
        <v>371</v>
      </c>
      <c r="YM8" s="40" t="s">
        <v>372</v>
      </c>
      <c r="YN8" s="40" t="s">
        <v>44</v>
      </c>
      <c r="YO8" s="40" t="s">
        <v>397</v>
      </c>
      <c r="YP8" s="40" t="s">
        <v>376</v>
      </c>
      <c r="YQ8" s="40" t="s">
        <v>38</v>
      </c>
      <c r="YR8" s="40" t="s">
        <v>17</v>
      </c>
      <c r="YY8" s="141"/>
      <c r="YZ8" s="40" t="s">
        <v>343</v>
      </c>
      <c r="ZA8" s="40" t="s">
        <v>371</v>
      </c>
      <c r="ZB8" s="40" t="s">
        <v>372</v>
      </c>
      <c r="ZC8" s="40" t="s">
        <v>373</v>
      </c>
      <c r="ZD8" s="40" t="s">
        <v>374</v>
      </c>
      <c r="ZE8" s="40" t="s">
        <v>375</v>
      </c>
      <c r="ZF8" s="40" t="s">
        <v>376</v>
      </c>
      <c r="ZG8" s="40" t="s">
        <v>377</v>
      </c>
      <c r="ZH8" s="40" t="s">
        <v>378</v>
      </c>
      <c r="ZI8" s="40" t="s">
        <v>254</v>
      </c>
      <c r="ZJ8" s="40" t="s">
        <v>379</v>
      </c>
      <c r="ZK8" s="40" t="s">
        <v>398</v>
      </c>
      <c r="ZL8" s="140"/>
      <c r="ZM8" s="141"/>
      <c r="ZN8" s="147"/>
      <c r="ZO8" s="147"/>
      <c r="ZP8" s="141"/>
      <c r="ZQ8" s="141"/>
      <c r="ZR8" s="140"/>
      <c r="ZS8" s="67"/>
      <c r="ZT8" s="67"/>
      <c r="ZU8" s="140"/>
      <c r="ZV8" s="140"/>
      <c r="ZW8" s="40"/>
      <c r="ZX8" s="40"/>
      <c r="ZY8" s="40"/>
      <c r="ZZ8" s="141"/>
      <c r="AAA8" s="141"/>
      <c r="AAB8" s="145"/>
      <c r="AAC8" s="40"/>
      <c r="AAD8" s="140"/>
      <c r="AAE8" s="140"/>
      <c r="AAF8" s="140"/>
      <c r="AAG8" s="146"/>
      <c r="AAH8" s="140"/>
      <c r="AAI8" s="151"/>
      <c r="AAJ8" s="158"/>
      <c r="AAK8" s="1" t="s">
        <v>314</v>
      </c>
      <c r="AAM8" s="148"/>
      <c r="AAN8" s="148"/>
      <c r="AAO8" s="141"/>
      <c r="AAP8" s="53" t="s">
        <v>399</v>
      </c>
      <c r="AAQ8" s="40" t="s">
        <v>343</v>
      </c>
      <c r="AAR8" s="53" t="s">
        <v>400</v>
      </c>
      <c r="AAS8" s="40" t="s">
        <v>371</v>
      </c>
      <c r="AAT8" s="40" t="s">
        <v>64</v>
      </c>
      <c r="AAU8" s="53" t="s">
        <v>401</v>
      </c>
      <c r="AAV8" s="40" t="s">
        <v>402</v>
      </c>
      <c r="AAW8" s="40" t="s">
        <v>64</v>
      </c>
      <c r="AAX8" s="40" t="s">
        <v>403</v>
      </c>
      <c r="AAY8" s="40" t="s">
        <v>373</v>
      </c>
      <c r="AAZ8" s="40" t="s">
        <v>404</v>
      </c>
      <c r="ABA8" s="40" t="s">
        <v>374</v>
      </c>
      <c r="ABB8" s="40" t="s">
        <v>393</v>
      </c>
      <c r="ABC8" s="53" t="s">
        <v>405</v>
      </c>
      <c r="ABD8" s="40" t="s">
        <v>376</v>
      </c>
      <c r="ABE8" s="40" t="s">
        <v>390</v>
      </c>
      <c r="ABF8" s="53" t="s">
        <v>406</v>
      </c>
      <c r="ABG8" s="40" t="s">
        <v>377</v>
      </c>
      <c r="ABH8" s="40" t="s">
        <v>64</v>
      </c>
      <c r="ABI8" s="40" t="s">
        <v>378</v>
      </c>
      <c r="ABJ8" s="40" t="s">
        <v>254</v>
      </c>
      <c r="ABK8" s="53" t="s">
        <v>407</v>
      </c>
      <c r="ABL8" s="40" t="s">
        <v>379</v>
      </c>
      <c r="ABM8" s="40" t="s">
        <v>398</v>
      </c>
      <c r="ABN8" s="141"/>
      <c r="ABO8" s="143"/>
      <c r="ABP8" s="141"/>
      <c r="ABQ8" s="140"/>
      <c r="ABR8" s="147"/>
      <c r="ABS8" s="147"/>
      <c r="ABT8" s="143"/>
      <c r="ABU8" s="141"/>
      <c r="ABV8" s="140"/>
      <c r="ABW8" s="141"/>
      <c r="ABX8" s="141"/>
      <c r="ABY8" s="40"/>
      <c r="ABZ8" s="40"/>
      <c r="ACA8" s="141"/>
      <c r="ACB8" s="141"/>
      <c r="ACC8" s="40"/>
      <c r="ACD8" s="40"/>
      <c r="ACE8" s="40"/>
      <c r="ACF8" s="143"/>
      <c r="ACG8" s="141"/>
      <c r="ACH8" s="140"/>
      <c r="ACI8" s="141"/>
      <c r="ACJ8" s="145"/>
      <c r="ACK8" s="40"/>
      <c r="ACL8" s="140"/>
      <c r="ACM8" s="140"/>
      <c r="ACN8" s="146"/>
      <c r="ACO8" s="140"/>
      <c r="ACP8" s="140"/>
      <c r="ACQ8" s="141"/>
      <c r="ACR8" s="141"/>
      <c r="ACS8" s="141"/>
      <c r="ACT8" s="141"/>
      <c r="ACU8" s="142"/>
      <c r="ACV8" s="143"/>
      <c r="ACX8" s="148"/>
      <c r="ACY8" s="159"/>
      <c r="ACZ8" s="47" t="s">
        <v>70</v>
      </c>
      <c r="ADB8" s="148"/>
      <c r="ADC8" s="155"/>
      <c r="ADD8" s="148"/>
      <c r="ADE8" s="155"/>
      <c r="ADF8" s="72" t="s">
        <v>391</v>
      </c>
      <c r="ADG8" s="72" t="s">
        <v>403</v>
      </c>
      <c r="ADH8" s="72" t="s">
        <v>373</v>
      </c>
      <c r="ADI8" s="72" t="s">
        <v>404</v>
      </c>
      <c r="ADJ8" s="137"/>
      <c r="ADK8" s="72" t="s">
        <v>392</v>
      </c>
      <c r="ADL8" s="72" t="s">
        <v>349</v>
      </c>
      <c r="ADM8" s="72" t="s">
        <v>374</v>
      </c>
      <c r="ADN8" s="72" t="s">
        <v>393</v>
      </c>
      <c r="ADO8" s="72" t="s">
        <v>394</v>
      </c>
      <c r="ADP8" s="148"/>
      <c r="ADQ8" s="148"/>
      <c r="ADR8" s="148"/>
      <c r="ADU8" s="40" t="s">
        <v>396</v>
      </c>
      <c r="ADV8" s="40" t="s">
        <v>371</v>
      </c>
      <c r="ADW8" s="40" t="s">
        <v>408</v>
      </c>
      <c r="ADX8" s="40" t="s">
        <v>44</v>
      </c>
      <c r="ADY8" s="40" t="s">
        <v>397</v>
      </c>
      <c r="ADZ8" s="40" t="s">
        <v>376</v>
      </c>
      <c r="AEA8" s="40" t="s">
        <v>38</v>
      </c>
      <c r="AEB8" s="40" t="s">
        <v>17</v>
      </c>
      <c r="AEG8" s="73"/>
      <c r="AEH8" s="73" t="s">
        <v>343</v>
      </c>
      <c r="AEI8" s="73" t="s">
        <v>371</v>
      </c>
      <c r="AEJ8" s="73" t="s">
        <v>402</v>
      </c>
      <c r="AEK8" s="73" t="s">
        <v>403</v>
      </c>
      <c r="AEL8" s="73" t="s">
        <v>373</v>
      </c>
      <c r="AEM8" s="73" t="s">
        <v>404</v>
      </c>
      <c r="AEN8" s="73" t="s">
        <v>374</v>
      </c>
      <c r="AEO8" s="73" t="s">
        <v>393</v>
      </c>
      <c r="AEP8" s="73" t="s">
        <v>376</v>
      </c>
      <c r="AEQ8" s="73" t="s">
        <v>377</v>
      </c>
      <c r="AER8" s="73" t="s">
        <v>378</v>
      </c>
      <c r="AES8" s="73" t="s">
        <v>254</v>
      </c>
      <c r="AET8" s="73" t="s">
        <v>379</v>
      </c>
      <c r="AEU8" s="73" t="s">
        <v>398</v>
      </c>
      <c r="AEV8" s="73"/>
      <c r="AEW8" s="73"/>
      <c r="AEX8" s="73"/>
      <c r="AEY8" s="73"/>
      <c r="AEZ8" s="73"/>
      <c r="AFA8" s="73"/>
      <c r="AFB8" s="73"/>
      <c r="AFC8" s="73"/>
      <c r="AFD8" s="73"/>
      <c r="AFE8" s="73"/>
      <c r="AFF8" s="73"/>
      <c r="AFG8" s="73"/>
      <c r="AFH8" s="73"/>
      <c r="AFI8" s="73"/>
      <c r="AFJ8" s="73"/>
      <c r="AFK8" s="73"/>
      <c r="AFL8" s="73"/>
      <c r="AFM8" s="73"/>
      <c r="AFN8" s="73"/>
      <c r="AFO8" s="73"/>
      <c r="AFP8" s="73"/>
      <c r="AFQ8" s="73" t="s">
        <v>314</v>
      </c>
      <c r="AFR8" s="73"/>
      <c r="AFS8" s="73"/>
      <c r="AFT8" s="73"/>
      <c r="AFX8" s="1" t="s">
        <v>314</v>
      </c>
    </row>
    <row r="9" spans="1:856" s="1" customFormat="1" ht="15.75">
      <c r="A9" s="28">
        <v>1</v>
      </c>
      <c r="B9" s="28"/>
      <c r="C9" s="74">
        <v>2</v>
      </c>
      <c r="D9" s="28"/>
      <c r="E9" s="75">
        <v>4</v>
      </c>
      <c r="F9" s="75">
        <v>5</v>
      </c>
      <c r="G9" s="76"/>
      <c r="I9" s="75"/>
      <c r="J9" s="75">
        <v>7</v>
      </c>
      <c r="K9" s="75">
        <v>8</v>
      </c>
      <c r="L9" s="75"/>
      <c r="M9" s="75"/>
      <c r="N9" s="75"/>
      <c r="O9" s="75"/>
      <c r="P9" s="75"/>
      <c r="Q9" s="75"/>
      <c r="R9" s="75"/>
      <c r="S9" s="75">
        <v>9</v>
      </c>
      <c r="T9" s="28"/>
      <c r="U9" s="28"/>
      <c r="V9" s="28"/>
      <c r="W9" s="28"/>
      <c r="X9" s="28"/>
      <c r="Y9" s="28"/>
      <c r="Z9" s="28"/>
      <c r="AA9" s="28"/>
      <c r="AB9" s="28"/>
      <c r="AC9" s="28">
        <v>10</v>
      </c>
      <c r="AD9" s="28"/>
      <c r="AE9" s="77"/>
      <c r="AF9" s="28"/>
      <c r="AG9" s="28"/>
      <c r="AH9" s="28">
        <v>10</v>
      </c>
      <c r="AI9" s="28"/>
      <c r="AJ9" s="28">
        <v>11</v>
      </c>
      <c r="AK9" s="28">
        <v>12</v>
      </c>
      <c r="AL9" s="28">
        <v>13</v>
      </c>
      <c r="AM9" s="28">
        <v>14</v>
      </c>
      <c r="AN9" s="28"/>
      <c r="AO9" s="28"/>
      <c r="AP9" s="28"/>
      <c r="AQ9" s="28"/>
      <c r="AR9" s="28"/>
      <c r="AS9" s="28">
        <v>10</v>
      </c>
      <c r="AT9" s="28"/>
      <c r="AU9" s="28"/>
      <c r="AV9" s="28">
        <v>11</v>
      </c>
      <c r="AW9" s="28">
        <v>12</v>
      </c>
      <c r="AX9" s="28">
        <v>13</v>
      </c>
      <c r="AY9" s="28"/>
      <c r="AZ9" s="28"/>
      <c r="BA9" s="28"/>
      <c r="BB9" s="28">
        <v>13</v>
      </c>
      <c r="BC9" s="28"/>
      <c r="BD9" s="77"/>
      <c r="BE9" s="28"/>
      <c r="BF9" s="28"/>
      <c r="BG9" s="28"/>
      <c r="BH9" s="28">
        <v>12</v>
      </c>
      <c r="BI9" s="28"/>
      <c r="BJ9" s="28"/>
      <c r="BK9" s="28">
        <v>12</v>
      </c>
      <c r="BL9" s="28"/>
      <c r="BM9" s="28"/>
      <c r="BN9" s="28"/>
      <c r="BO9" s="28">
        <v>12</v>
      </c>
      <c r="BP9" s="28"/>
      <c r="BQ9" s="28"/>
      <c r="BR9" s="28"/>
      <c r="BS9" s="28">
        <v>12</v>
      </c>
      <c r="BT9" s="28"/>
      <c r="BU9" s="28"/>
      <c r="BV9" s="28"/>
      <c r="BW9" s="28">
        <v>3</v>
      </c>
      <c r="BX9" s="28">
        <v>3</v>
      </c>
      <c r="BY9" s="28"/>
      <c r="BZ9" s="28"/>
      <c r="CA9" s="28"/>
      <c r="CB9" s="28">
        <v>4</v>
      </c>
      <c r="CC9" s="28"/>
      <c r="CD9" s="28"/>
      <c r="CE9" s="28">
        <v>9</v>
      </c>
      <c r="CF9" s="28">
        <v>10</v>
      </c>
      <c r="CG9" s="28">
        <v>10</v>
      </c>
      <c r="CH9" s="28">
        <v>10</v>
      </c>
      <c r="CI9" s="28">
        <v>14</v>
      </c>
      <c r="CJ9" s="28"/>
      <c r="CK9" s="28">
        <v>15</v>
      </c>
      <c r="CL9" s="28"/>
      <c r="CM9" s="28"/>
      <c r="CN9" s="28">
        <v>5</v>
      </c>
      <c r="CO9" s="28">
        <v>3</v>
      </c>
      <c r="CP9" s="28"/>
      <c r="CQ9" s="28"/>
      <c r="CR9" s="28">
        <v>6</v>
      </c>
      <c r="CS9" s="28"/>
      <c r="CT9" s="28"/>
      <c r="CU9" s="28">
        <v>11</v>
      </c>
      <c r="CV9" s="28">
        <v>11</v>
      </c>
      <c r="CW9" s="28">
        <v>10</v>
      </c>
      <c r="CX9" s="28">
        <v>16</v>
      </c>
      <c r="CY9" s="28"/>
      <c r="CZ9" s="28">
        <v>17</v>
      </c>
      <c r="DA9" s="28"/>
      <c r="DB9" s="28"/>
      <c r="DC9" s="28">
        <v>7</v>
      </c>
      <c r="DD9" s="28">
        <v>3</v>
      </c>
      <c r="DE9" s="28"/>
      <c r="DF9" s="28"/>
      <c r="DG9" s="28"/>
      <c r="DH9" s="28">
        <v>8</v>
      </c>
      <c r="DI9" s="28"/>
      <c r="DJ9" s="28"/>
      <c r="DK9" s="28">
        <v>13</v>
      </c>
      <c r="DL9" s="28">
        <v>13</v>
      </c>
      <c r="DM9" s="28">
        <v>10</v>
      </c>
      <c r="DN9" s="28">
        <v>18</v>
      </c>
      <c r="DO9" s="28"/>
      <c r="DP9" s="28">
        <v>19</v>
      </c>
      <c r="DQ9" s="28"/>
      <c r="DR9" s="28"/>
      <c r="DS9" s="28">
        <v>9</v>
      </c>
      <c r="DT9" s="28">
        <v>3</v>
      </c>
      <c r="DU9" s="28"/>
      <c r="DV9" s="28"/>
      <c r="DW9" s="28">
        <v>10</v>
      </c>
      <c r="DX9" s="28"/>
      <c r="DY9" s="28"/>
      <c r="DZ9" s="28">
        <v>15</v>
      </c>
      <c r="EA9" s="28">
        <v>10</v>
      </c>
      <c r="EB9" s="28">
        <v>20</v>
      </c>
      <c r="EC9" s="28"/>
      <c r="ED9" s="28">
        <v>21</v>
      </c>
      <c r="EE9" s="28"/>
      <c r="EF9" s="28"/>
      <c r="EG9" s="28">
        <v>11</v>
      </c>
      <c r="EH9" s="28">
        <v>3</v>
      </c>
      <c r="EI9" s="28"/>
      <c r="EJ9" s="28"/>
      <c r="EK9" s="28">
        <v>12</v>
      </c>
      <c r="EL9" s="28"/>
      <c r="EM9" s="28"/>
      <c r="EN9" s="28">
        <v>17</v>
      </c>
      <c r="EO9" s="28">
        <v>10</v>
      </c>
      <c r="EP9" s="28">
        <v>10</v>
      </c>
      <c r="EQ9" s="28">
        <v>22</v>
      </c>
      <c r="ER9" s="28"/>
      <c r="ES9" s="28">
        <v>23</v>
      </c>
      <c r="ET9" s="28"/>
      <c r="EU9" s="28"/>
      <c r="EV9" s="28">
        <v>13</v>
      </c>
      <c r="EW9" s="28">
        <v>3</v>
      </c>
      <c r="EX9" s="28"/>
      <c r="EY9" s="28"/>
      <c r="EZ9" s="28">
        <v>14</v>
      </c>
      <c r="FA9" s="28"/>
      <c r="FB9" s="28"/>
      <c r="FC9" s="28">
        <v>19</v>
      </c>
      <c r="FD9" s="28">
        <v>10</v>
      </c>
      <c r="FE9" s="28">
        <v>10</v>
      </c>
      <c r="FF9" s="28">
        <v>24</v>
      </c>
      <c r="FG9" s="28"/>
      <c r="FH9" s="28">
        <v>25</v>
      </c>
      <c r="FI9" s="28"/>
      <c r="FJ9" s="28"/>
      <c r="FK9" s="28">
        <v>15</v>
      </c>
      <c r="FL9" s="28">
        <v>3</v>
      </c>
      <c r="FM9" s="28"/>
      <c r="FN9" s="28"/>
      <c r="FO9" s="28">
        <v>16</v>
      </c>
      <c r="FP9" s="28"/>
      <c r="FQ9" s="28"/>
      <c r="FR9" s="28">
        <v>21</v>
      </c>
      <c r="FS9" s="28">
        <v>10</v>
      </c>
      <c r="FT9" s="28">
        <v>10</v>
      </c>
      <c r="FU9" s="28">
        <v>10</v>
      </c>
      <c r="FV9" s="28">
        <v>10</v>
      </c>
      <c r="FW9" s="28">
        <v>26</v>
      </c>
      <c r="FX9" s="28"/>
      <c r="FY9" s="28">
        <v>27</v>
      </c>
      <c r="FZ9" s="28"/>
      <c r="GA9" s="28"/>
      <c r="GB9" s="28">
        <v>17</v>
      </c>
      <c r="GC9" s="28">
        <v>3</v>
      </c>
      <c r="GD9" s="28"/>
      <c r="GE9" s="28"/>
      <c r="GF9" s="28">
        <v>18</v>
      </c>
      <c r="GG9" s="28"/>
      <c r="GH9" s="28"/>
      <c r="GI9" s="28">
        <v>23</v>
      </c>
      <c r="GJ9" s="28">
        <v>10</v>
      </c>
      <c r="GK9" s="28">
        <v>28</v>
      </c>
      <c r="GL9" s="28"/>
      <c r="GM9" s="28">
        <v>29</v>
      </c>
      <c r="GN9" s="28"/>
      <c r="GO9" s="28">
        <v>30</v>
      </c>
      <c r="GP9" s="28">
        <v>30</v>
      </c>
      <c r="GQ9" s="28">
        <v>30</v>
      </c>
      <c r="GR9" s="28">
        <v>30</v>
      </c>
      <c r="GS9" s="28">
        <v>30</v>
      </c>
      <c r="GT9" s="28"/>
      <c r="GU9" s="28">
        <v>31</v>
      </c>
      <c r="GV9" s="28">
        <v>31</v>
      </c>
      <c r="GW9" s="28">
        <v>31</v>
      </c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>
        <v>10</v>
      </c>
      <c r="HL9" s="28">
        <v>10</v>
      </c>
      <c r="HM9" s="28"/>
      <c r="HN9" s="28">
        <v>32</v>
      </c>
      <c r="HO9" s="28"/>
      <c r="HP9" s="28">
        <v>33</v>
      </c>
      <c r="HQ9" s="28"/>
      <c r="HR9" s="28"/>
      <c r="HS9" s="28"/>
      <c r="HT9" s="28"/>
      <c r="HU9" s="28"/>
      <c r="HV9" s="28"/>
      <c r="HW9" s="28"/>
      <c r="HX9" s="28"/>
      <c r="HY9" s="78"/>
      <c r="HZ9" s="28"/>
      <c r="IA9" s="28"/>
      <c r="IB9" s="28"/>
      <c r="IC9" s="28">
        <v>10</v>
      </c>
      <c r="ID9" s="28"/>
      <c r="IE9" s="28">
        <v>34</v>
      </c>
      <c r="IF9" s="28"/>
      <c r="IG9" s="77"/>
      <c r="IH9" s="28"/>
      <c r="II9" s="28"/>
      <c r="IJ9" s="28">
        <v>35</v>
      </c>
      <c r="IK9" s="28"/>
      <c r="IL9" s="28"/>
      <c r="IM9" s="28"/>
      <c r="IN9" s="28"/>
      <c r="IO9" s="28"/>
      <c r="IP9" s="28"/>
      <c r="IQ9" s="28">
        <v>26</v>
      </c>
      <c r="IR9" s="28">
        <v>3</v>
      </c>
      <c r="IS9" s="28"/>
      <c r="IT9" s="28"/>
      <c r="IU9" s="28"/>
      <c r="IV9" s="28"/>
      <c r="IW9" s="28"/>
      <c r="IX9" s="28">
        <v>27</v>
      </c>
      <c r="IY9" s="28"/>
      <c r="IZ9" s="28">
        <v>32</v>
      </c>
      <c r="JA9" s="28">
        <v>10</v>
      </c>
      <c r="JB9" s="28">
        <v>36</v>
      </c>
      <c r="JC9" s="28"/>
      <c r="JD9" s="28">
        <v>37</v>
      </c>
      <c r="JE9" s="28"/>
      <c r="JF9" s="28"/>
      <c r="JG9" s="28">
        <v>28</v>
      </c>
      <c r="JH9" s="28">
        <v>3</v>
      </c>
      <c r="JI9" s="28"/>
      <c r="JJ9" s="28"/>
      <c r="JK9" s="28"/>
      <c r="JL9" s="28">
        <v>29</v>
      </c>
      <c r="JM9" s="28"/>
      <c r="JN9" s="28">
        <v>34</v>
      </c>
      <c r="JO9" s="28">
        <v>10</v>
      </c>
      <c r="JP9" s="28">
        <v>38</v>
      </c>
      <c r="JQ9" s="28"/>
      <c r="JR9" s="28">
        <v>39</v>
      </c>
      <c r="JS9" s="28"/>
      <c r="JT9" s="28"/>
      <c r="JU9" s="28">
        <v>36</v>
      </c>
      <c r="JV9" s="28">
        <v>10</v>
      </c>
      <c r="JW9" s="28">
        <v>40</v>
      </c>
      <c r="JX9" s="28"/>
      <c r="JY9" s="28">
        <v>41</v>
      </c>
      <c r="JZ9" s="28"/>
      <c r="KA9" s="28"/>
      <c r="KB9" s="28">
        <v>31</v>
      </c>
      <c r="KC9" s="28"/>
      <c r="KD9" s="28"/>
      <c r="KE9" s="28"/>
      <c r="KF9" s="28"/>
      <c r="KG9" s="28">
        <v>29</v>
      </c>
      <c r="KH9" s="28">
        <v>30</v>
      </c>
      <c r="KI9" s="28"/>
      <c r="KJ9" s="28"/>
      <c r="KK9" s="28">
        <v>32</v>
      </c>
      <c r="KL9" s="28"/>
      <c r="KM9" s="28">
        <v>33</v>
      </c>
      <c r="KN9" s="28">
        <v>3</v>
      </c>
      <c r="KO9" s="28"/>
      <c r="KP9" s="28"/>
      <c r="KQ9" s="28"/>
      <c r="KR9" s="28">
        <v>34</v>
      </c>
      <c r="KS9" s="28"/>
      <c r="KT9" s="28"/>
      <c r="KU9" s="28">
        <v>38</v>
      </c>
      <c r="KV9" s="28">
        <v>10</v>
      </c>
      <c r="KW9" s="28">
        <v>42</v>
      </c>
      <c r="KX9" s="28"/>
      <c r="KY9" s="28">
        <v>43</v>
      </c>
      <c r="KZ9" s="28"/>
      <c r="LA9" s="28">
        <v>44</v>
      </c>
      <c r="LB9" s="28"/>
      <c r="LC9" s="77"/>
      <c r="LD9" s="77"/>
      <c r="LE9" s="77">
        <v>45</v>
      </c>
      <c r="LF9" s="28"/>
      <c r="LG9" s="28">
        <v>45</v>
      </c>
      <c r="LH9" s="28">
        <v>28</v>
      </c>
      <c r="LI9" s="28"/>
      <c r="LJ9" s="28">
        <v>45</v>
      </c>
      <c r="LK9" s="28"/>
      <c r="LL9" s="28"/>
      <c r="LM9" s="28"/>
      <c r="LN9" s="28"/>
      <c r="LO9" s="28"/>
      <c r="LP9" s="28"/>
      <c r="LQ9" s="28"/>
      <c r="LR9" s="28"/>
      <c r="LS9" s="28">
        <v>40</v>
      </c>
      <c r="LT9" s="28">
        <v>10</v>
      </c>
      <c r="LU9" s="28"/>
      <c r="LV9" s="28">
        <v>46</v>
      </c>
      <c r="LW9" s="28">
        <v>47</v>
      </c>
      <c r="LX9" s="28"/>
      <c r="LY9" s="28">
        <v>42</v>
      </c>
      <c r="LZ9" s="28">
        <v>10</v>
      </c>
      <c r="MA9" s="28"/>
      <c r="MB9" s="28">
        <v>48</v>
      </c>
      <c r="MC9" s="28">
        <v>49</v>
      </c>
      <c r="MD9" s="28"/>
      <c r="ME9" s="28">
        <v>44</v>
      </c>
      <c r="MF9" s="28">
        <v>10</v>
      </c>
      <c r="MG9" s="28"/>
      <c r="MH9" s="28">
        <v>50</v>
      </c>
      <c r="MI9" s="28">
        <v>51</v>
      </c>
      <c r="MJ9" s="28"/>
      <c r="MK9" s="28">
        <v>46</v>
      </c>
      <c r="ML9" s="28">
        <v>10</v>
      </c>
      <c r="MM9" s="28"/>
      <c r="MN9" s="28">
        <v>52</v>
      </c>
      <c r="MO9" s="28">
        <v>53</v>
      </c>
      <c r="MP9" s="28">
        <v>54</v>
      </c>
      <c r="MQ9" s="28"/>
      <c r="MR9" s="28">
        <v>55</v>
      </c>
      <c r="MS9" s="28"/>
      <c r="MT9" s="28"/>
      <c r="MU9" s="28">
        <v>56</v>
      </c>
      <c r="MV9" s="77"/>
      <c r="MW9" s="28"/>
      <c r="MX9" s="28"/>
      <c r="MY9" s="28"/>
      <c r="MZ9" s="28"/>
      <c r="NA9" s="28"/>
      <c r="NB9" s="28">
        <v>57</v>
      </c>
      <c r="NC9" s="77"/>
      <c r="ND9" s="28"/>
      <c r="NE9" s="28"/>
      <c r="NF9" s="28"/>
      <c r="NG9" s="28"/>
      <c r="NH9" s="28"/>
      <c r="NI9" s="28"/>
      <c r="NJ9" s="28">
        <v>58</v>
      </c>
      <c r="NK9" s="77"/>
      <c r="NL9" s="28"/>
      <c r="NM9" s="28">
        <v>59</v>
      </c>
      <c r="NN9" s="28"/>
      <c r="NO9" s="28"/>
      <c r="NP9" s="28"/>
      <c r="NQ9" s="28">
        <v>60</v>
      </c>
      <c r="NR9" s="77"/>
      <c r="NS9" s="28"/>
      <c r="NT9" s="28">
        <v>61</v>
      </c>
      <c r="NU9" s="28"/>
      <c r="NV9" s="28"/>
      <c r="NW9" s="28"/>
      <c r="NX9" s="28">
        <v>62</v>
      </c>
      <c r="NY9" s="79"/>
      <c r="NZ9" s="28"/>
      <c r="OA9" s="28">
        <v>63</v>
      </c>
      <c r="OB9" s="28"/>
      <c r="OC9" s="28"/>
      <c r="OD9" s="28">
        <v>64</v>
      </c>
      <c r="OE9" s="28"/>
      <c r="OF9" s="77"/>
      <c r="OG9" s="80"/>
      <c r="OH9" s="80"/>
      <c r="OI9" s="28">
        <v>65</v>
      </c>
      <c r="OJ9" s="28"/>
      <c r="OK9" s="28"/>
      <c r="OL9" s="28"/>
      <c r="OM9" s="28"/>
      <c r="ON9" s="28">
        <v>64</v>
      </c>
      <c r="OO9" s="28"/>
      <c r="OP9" s="28"/>
      <c r="OQ9" s="28"/>
      <c r="OR9" s="28"/>
      <c r="OS9" s="28"/>
      <c r="OT9" s="28">
        <v>64</v>
      </c>
      <c r="OU9" s="28"/>
      <c r="OV9" s="81">
        <v>64</v>
      </c>
      <c r="OW9" s="28">
        <v>64</v>
      </c>
      <c r="OX9" s="28"/>
      <c r="OY9" s="28"/>
      <c r="OZ9" s="28"/>
      <c r="PA9" s="28"/>
      <c r="PB9" s="28">
        <v>66</v>
      </c>
      <c r="PC9" s="77"/>
      <c r="PD9" s="28"/>
      <c r="PE9" s="28">
        <v>66</v>
      </c>
      <c r="PF9" s="28">
        <v>67</v>
      </c>
      <c r="PG9" s="28"/>
      <c r="PH9" s="28">
        <v>68</v>
      </c>
      <c r="PI9" s="28"/>
      <c r="PJ9" s="28"/>
      <c r="PK9" s="28"/>
      <c r="PL9" s="28"/>
      <c r="PM9" s="28">
        <v>69</v>
      </c>
      <c r="PN9" s="28"/>
      <c r="PO9" s="77"/>
      <c r="PP9" s="28">
        <v>70</v>
      </c>
      <c r="PQ9" s="28"/>
      <c r="PR9" s="28"/>
      <c r="PS9" s="28"/>
      <c r="PT9" s="28">
        <v>71</v>
      </c>
      <c r="PU9" s="28"/>
      <c r="PV9" s="28">
        <v>72</v>
      </c>
      <c r="PW9" s="28"/>
      <c r="PX9" s="28"/>
      <c r="PY9" s="28"/>
      <c r="PZ9" s="28">
        <v>73</v>
      </c>
      <c r="QA9" s="28"/>
      <c r="QB9" s="77"/>
      <c r="QC9" s="28">
        <v>74</v>
      </c>
      <c r="QD9" s="28"/>
      <c r="QE9" s="28"/>
      <c r="QF9" s="28"/>
      <c r="QG9" s="28">
        <v>75</v>
      </c>
      <c r="QH9" s="28"/>
      <c r="QI9" s="77"/>
      <c r="QJ9" s="28">
        <v>43</v>
      </c>
      <c r="QK9" s="28"/>
      <c r="QL9" s="28">
        <v>48</v>
      </c>
      <c r="QM9" s="28"/>
      <c r="QN9" s="28">
        <v>49</v>
      </c>
      <c r="QO9" s="28"/>
      <c r="QP9" s="28"/>
      <c r="QQ9" s="81"/>
      <c r="QR9" s="81"/>
      <c r="QS9" s="81"/>
      <c r="QT9" s="28"/>
      <c r="QU9" s="28"/>
      <c r="QV9" s="28"/>
      <c r="QW9" s="28">
        <v>50</v>
      </c>
      <c r="QX9" s="28"/>
      <c r="QY9" s="28"/>
      <c r="QZ9" s="28"/>
      <c r="RA9" s="28"/>
      <c r="RB9" s="28"/>
      <c r="RC9" s="81"/>
      <c r="RD9" s="81"/>
      <c r="RE9" s="28">
        <v>76</v>
      </c>
      <c r="RF9" s="28"/>
      <c r="RG9" s="28"/>
      <c r="RH9" s="28"/>
      <c r="RI9" s="28"/>
      <c r="RJ9" s="28">
        <v>18</v>
      </c>
      <c r="RK9" s="28">
        <v>19</v>
      </c>
      <c r="RL9" s="28"/>
      <c r="RM9" s="28"/>
      <c r="RN9" s="28"/>
      <c r="RO9" s="28"/>
      <c r="RP9" s="28"/>
      <c r="RQ9" s="82"/>
      <c r="RR9" s="28"/>
      <c r="RS9" s="28"/>
      <c r="RT9" s="28">
        <v>51</v>
      </c>
      <c r="RU9" s="28">
        <v>52</v>
      </c>
      <c r="RV9" s="28">
        <v>31</v>
      </c>
      <c r="RW9" s="28">
        <v>44</v>
      </c>
      <c r="RX9" s="28"/>
      <c r="RY9" s="28"/>
      <c r="RZ9" s="28">
        <v>34</v>
      </c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>
        <v>53</v>
      </c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>
        <v>54</v>
      </c>
      <c r="TD9" s="28">
        <v>54</v>
      </c>
      <c r="TE9" s="28">
        <v>54</v>
      </c>
      <c r="TF9" s="28"/>
      <c r="TG9" s="28">
        <v>55</v>
      </c>
      <c r="TH9" s="28"/>
      <c r="TI9" s="28"/>
      <c r="TJ9" s="28"/>
      <c r="TK9" s="28"/>
      <c r="TL9" s="28">
        <v>56</v>
      </c>
      <c r="TM9" s="28">
        <v>57</v>
      </c>
      <c r="TN9" s="28">
        <v>58</v>
      </c>
      <c r="TO9" s="28">
        <v>59</v>
      </c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37"/>
      <c r="UA9" s="23"/>
      <c r="UB9" s="28">
        <v>60</v>
      </c>
      <c r="UC9" s="28">
        <v>61</v>
      </c>
      <c r="UD9" s="28">
        <v>37</v>
      </c>
      <c r="UE9" s="28">
        <v>38</v>
      </c>
      <c r="UF9" s="28">
        <v>62</v>
      </c>
      <c r="UG9" s="28">
        <v>63</v>
      </c>
      <c r="UH9" s="28">
        <v>64</v>
      </c>
      <c r="UI9" s="28">
        <v>65</v>
      </c>
      <c r="UJ9" s="28">
        <v>66</v>
      </c>
      <c r="UK9" s="28">
        <v>67</v>
      </c>
      <c r="UL9" s="28">
        <v>68</v>
      </c>
      <c r="UN9" s="78"/>
      <c r="UO9" s="78"/>
      <c r="UP9" s="78"/>
      <c r="UQ9" s="78"/>
      <c r="UR9" s="28"/>
      <c r="US9" s="28"/>
      <c r="UT9" s="28"/>
      <c r="UU9" s="28"/>
      <c r="UV9" s="28"/>
      <c r="UW9" s="83">
        <v>3</v>
      </c>
      <c r="UX9" s="83">
        <v>4</v>
      </c>
      <c r="UY9" s="83"/>
      <c r="UZ9" s="83"/>
      <c r="VA9" s="83">
        <v>5</v>
      </c>
      <c r="VB9" s="83">
        <v>6</v>
      </c>
      <c r="VC9" s="83">
        <v>7</v>
      </c>
      <c r="VD9" s="83"/>
      <c r="VE9" s="83"/>
      <c r="VF9" s="83">
        <v>8</v>
      </c>
      <c r="VG9" s="83">
        <v>9</v>
      </c>
      <c r="VH9" s="83"/>
      <c r="VI9" s="83"/>
      <c r="VJ9" s="83">
        <v>10</v>
      </c>
      <c r="VK9" s="83"/>
      <c r="VL9" s="83">
        <v>11</v>
      </c>
      <c r="VM9" s="83">
        <v>12</v>
      </c>
      <c r="VN9" s="83"/>
      <c r="VO9" s="83"/>
      <c r="VP9" s="81"/>
      <c r="VQ9" s="81"/>
      <c r="VR9" s="83"/>
      <c r="VS9" s="83"/>
      <c r="VT9" s="83"/>
      <c r="VU9" s="83"/>
      <c r="VV9" s="83"/>
      <c r="VW9" s="83">
        <v>13</v>
      </c>
      <c r="VX9" s="83">
        <v>14</v>
      </c>
      <c r="VY9" s="83"/>
      <c r="VZ9" s="83"/>
      <c r="WA9" s="83"/>
      <c r="WB9" s="83"/>
      <c r="WC9" s="83">
        <v>15</v>
      </c>
      <c r="WD9" s="83"/>
      <c r="WE9" s="83">
        <v>14</v>
      </c>
      <c r="WF9" s="83"/>
      <c r="WG9" s="28">
        <v>36</v>
      </c>
      <c r="WH9" s="28">
        <v>36</v>
      </c>
      <c r="WI9" s="28">
        <v>36</v>
      </c>
      <c r="WJ9" s="28">
        <v>36</v>
      </c>
      <c r="WK9" s="81">
        <v>34</v>
      </c>
      <c r="WL9" s="81"/>
      <c r="WM9" s="28">
        <v>34</v>
      </c>
      <c r="WN9" s="28"/>
      <c r="WO9" s="83"/>
      <c r="WP9" s="81"/>
      <c r="WQ9" s="83"/>
      <c r="WR9" s="84"/>
      <c r="WS9" s="84"/>
      <c r="WT9" s="28">
        <v>36</v>
      </c>
      <c r="WU9" s="37">
        <v>36</v>
      </c>
      <c r="WV9" s="37"/>
      <c r="WW9" s="84"/>
      <c r="WX9" s="84"/>
      <c r="WY9" s="84"/>
      <c r="XB9" s="83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7"/>
      <c r="XS9" s="28">
        <v>1</v>
      </c>
      <c r="XT9" s="28">
        <v>2</v>
      </c>
      <c r="XU9" s="28" t="s">
        <v>409</v>
      </c>
      <c r="XV9" s="28" t="s">
        <v>410</v>
      </c>
      <c r="XW9" s="28" t="s">
        <v>411</v>
      </c>
      <c r="XX9" s="28" t="s">
        <v>412</v>
      </c>
      <c r="XY9" s="28" t="s">
        <v>413</v>
      </c>
      <c r="XZ9" s="28" t="s">
        <v>414</v>
      </c>
      <c r="YA9" s="28" t="s">
        <v>415</v>
      </c>
      <c r="YB9" s="28" t="s">
        <v>416</v>
      </c>
      <c r="YC9" s="28" t="s">
        <v>417</v>
      </c>
      <c r="YD9" s="28" t="s">
        <v>418</v>
      </c>
      <c r="YE9" s="28">
        <v>3</v>
      </c>
      <c r="YF9" s="28">
        <v>4</v>
      </c>
      <c r="YG9" s="28">
        <v>5</v>
      </c>
      <c r="YK9" s="85" t="s">
        <v>419</v>
      </c>
      <c r="YL9" s="85" t="s">
        <v>420</v>
      </c>
      <c r="YM9" s="85" t="s">
        <v>421</v>
      </c>
      <c r="YN9" s="86" t="s">
        <v>422</v>
      </c>
      <c r="YO9" s="85" t="s">
        <v>423</v>
      </c>
      <c r="YP9" s="85" t="s">
        <v>424</v>
      </c>
      <c r="YQ9" s="86" t="s">
        <v>425</v>
      </c>
      <c r="YR9" s="20"/>
      <c r="YY9" s="83">
        <v>3</v>
      </c>
      <c r="YZ9" s="83">
        <v>4</v>
      </c>
      <c r="ZA9" s="83">
        <v>5</v>
      </c>
      <c r="ZB9" s="83">
        <v>6</v>
      </c>
      <c r="ZC9" s="83">
        <v>7</v>
      </c>
      <c r="ZD9" s="83"/>
      <c r="ZE9" s="83"/>
      <c r="ZF9" s="83">
        <v>8</v>
      </c>
      <c r="ZG9" s="83">
        <v>9</v>
      </c>
      <c r="ZH9" s="83"/>
      <c r="ZI9" s="83"/>
      <c r="ZJ9" s="83">
        <v>10</v>
      </c>
      <c r="ZK9" s="83">
        <v>10</v>
      </c>
      <c r="ZL9" s="83"/>
      <c r="ZM9" s="83">
        <v>11</v>
      </c>
      <c r="ZN9" s="83"/>
      <c r="ZO9" s="83"/>
      <c r="ZP9" s="83">
        <v>12</v>
      </c>
      <c r="ZQ9" s="83"/>
      <c r="ZR9" s="83"/>
      <c r="ZS9" s="81"/>
      <c r="ZT9" s="81"/>
      <c r="ZU9" s="83"/>
      <c r="ZV9" s="83"/>
      <c r="ZW9" s="83"/>
      <c r="ZX9" s="83"/>
      <c r="ZY9" s="83"/>
      <c r="ZZ9" s="83">
        <v>13</v>
      </c>
      <c r="AAA9" s="83">
        <v>14</v>
      </c>
      <c r="AAB9" s="83"/>
      <c r="AAC9" s="83"/>
      <c r="AAD9" s="83"/>
      <c r="AAE9" s="83"/>
      <c r="AAF9" s="83">
        <v>14</v>
      </c>
      <c r="AAG9" s="83"/>
      <c r="AAH9" s="83">
        <v>15</v>
      </c>
      <c r="AAI9" s="83">
        <v>15</v>
      </c>
      <c r="AAJ9" s="83"/>
      <c r="AAM9" s="28">
        <v>16</v>
      </c>
      <c r="AAN9" s="28"/>
      <c r="AAO9" s="83">
        <v>3</v>
      </c>
      <c r="AAP9" s="20"/>
      <c r="AAQ9" s="83" t="s">
        <v>426</v>
      </c>
      <c r="AAR9" s="20"/>
      <c r="AAS9" s="83" t="s">
        <v>427</v>
      </c>
      <c r="AAT9" s="83"/>
      <c r="AAU9" s="20"/>
      <c r="AAV9" s="83" t="s">
        <v>428</v>
      </c>
      <c r="AAW9" s="83"/>
      <c r="AAX9" s="83" t="s">
        <v>429</v>
      </c>
      <c r="AAY9" s="83">
        <v>8</v>
      </c>
      <c r="AAZ9" s="83">
        <v>9</v>
      </c>
      <c r="ABA9" s="83">
        <v>10</v>
      </c>
      <c r="ABB9" s="83">
        <v>11</v>
      </c>
      <c r="ABC9" s="20"/>
      <c r="ABD9" s="83">
        <v>9</v>
      </c>
      <c r="ABE9" s="83"/>
      <c r="ABF9" s="20"/>
      <c r="ABG9" s="83">
        <v>10</v>
      </c>
      <c r="ABH9" s="83"/>
      <c r="ABI9" s="83"/>
      <c r="ABJ9" s="83"/>
      <c r="ABK9" s="20"/>
      <c r="ABL9" s="83">
        <v>11</v>
      </c>
      <c r="ABM9" s="83">
        <v>10</v>
      </c>
      <c r="ABN9" s="83"/>
      <c r="ABO9" s="20"/>
      <c r="ABP9" s="83">
        <v>4</v>
      </c>
      <c r="ABQ9" s="83"/>
      <c r="ABR9" s="83"/>
      <c r="ABS9" s="83"/>
      <c r="ABT9" s="20"/>
      <c r="ABU9" s="83">
        <v>5</v>
      </c>
      <c r="ABV9" s="83"/>
      <c r="ABW9" s="83"/>
      <c r="ABX9" s="83"/>
      <c r="ABY9" s="81"/>
      <c r="ABZ9" s="81"/>
      <c r="ACA9" s="83">
        <v>0</v>
      </c>
      <c r="ACB9" s="83">
        <v>0</v>
      </c>
      <c r="ACC9" s="83"/>
      <c r="ACD9" s="83"/>
      <c r="ACE9" s="83"/>
      <c r="ACF9" s="20"/>
      <c r="ACG9" s="83">
        <v>6</v>
      </c>
      <c r="ACH9" s="83"/>
      <c r="ACI9" s="83">
        <v>15</v>
      </c>
      <c r="ACJ9" s="83"/>
      <c r="ACK9" s="83"/>
      <c r="ACL9" s="83"/>
      <c r="ACM9" s="83"/>
      <c r="ACN9" s="83">
        <v>16</v>
      </c>
      <c r="ACO9" s="83">
        <v>7</v>
      </c>
      <c r="ACP9" s="28">
        <v>8</v>
      </c>
      <c r="ACQ9" s="83">
        <v>9</v>
      </c>
      <c r="ACR9" s="83">
        <v>10</v>
      </c>
      <c r="ACS9" s="28">
        <v>11</v>
      </c>
      <c r="ACT9" s="83">
        <v>12</v>
      </c>
      <c r="ACU9" s="20"/>
      <c r="ACV9" s="20"/>
      <c r="ACX9" s="87">
        <v>13</v>
      </c>
      <c r="ACY9" s="20"/>
      <c r="ACZ9" s="20"/>
      <c r="ADB9" s="28">
        <v>1</v>
      </c>
      <c r="ADC9" s="28">
        <v>2</v>
      </c>
      <c r="ADD9" s="28" t="s">
        <v>409</v>
      </c>
      <c r="ADE9" s="28" t="s">
        <v>410</v>
      </c>
      <c r="ADF9" s="28" t="s">
        <v>411</v>
      </c>
      <c r="ADG9" s="28" t="s">
        <v>412</v>
      </c>
      <c r="ADH9" s="28" t="s">
        <v>434</v>
      </c>
      <c r="ADI9" s="28" t="s">
        <v>435</v>
      </c>
      <c r="ADJ9" s="28" t="s">
        <v>413</v>
      </c>
      <c r="ADK9" s="28" t="s">
        <v>414</v>
      </c>
      <c r="ADL9" s="28" t="s">
        <v>415</v>
      </c>
      <c r="ADM9" s="28" t="s">
        <v>416</v>
      </c>
      <c r="ADN9" s="28" t="s">
        <v>417</v>
      </c>
      <c r="ADO9" s="28" t="s">
        <v>418</v>
      </c>
      <c r="ADP9" s="28">
        <v>3</v>
      </c>
      <c r="ADQ9" s="28">
        <v>4</v>
      </c>
      <c r="ADR9" s="28">
        <v>5</v>
      </c>
      <c r="AEG9" s="1">
        <v>3</v>
      </c>
      <c r="AEH9" s="1">
        <v>4</v>
      </c>
      <c r="AEI9" s="1">
        <v>5</v>
      </c>
      <c r="AEJ9" s="1">
        <v>6</v>
      </c>
      <c r="AEK9" s="1">
        <v>7</v>
      </c>
      <c r="AEL9" s="1">
        <v>8</v>
      </c>
      <c r="AEM9" s="1">
        <v>9</v>
      </c>
      <c r="AEN9" s="1">
        <v>10</v>
      </c>
      <c r="AEO9" s="1">
        <v>11</v>
      </c>
      <c r="AEP9" s="1">
        <v>12</v>
      </c>
      <c r="AEQ9" s="1">
        <v>13</v>
      </c>
      <c r="AET9" s="1">
        <v>14</v>
      </c>
      <c r="AEU9" s="1">
        <v>10</v>
      </c>
      <c r="AEW9" s="1">
        <v>15</v>
      </c>
      <c r="AEZ9" s="1">
        <v>16</v>
      </c>
      <c r="AFJ9" s="1">
        <v>17</v>
      </c>
      <c r="AFK9" s="1">
        <v>18</v>
      </c>
      <c r="AFP9" s="1">
        <v>19</v>
      </c>
    </row>
    <row r="10" spans="1:856" s="1" customFormat="1" ht="63.75" customHeight="1">
      <c r="A10" s="88">
        <v>1</v>
      </c>
      <c r="B10" s="20" t="s">
        <v>574</v>
      </c>
      <c r="C10" s="89" t="s">
        <v>575</v>
      </c>
      <c r="D10" s="20" t="s">
        <v>574</v>
      </c>
      <c r="E10" s="20" t="s">
        <v>437</v>
      </c>
      <c r="F10" s="20" t="s">
        <v>438</v>
      </c>
      <c r="G10" s="20">
        <v>0.8</v>
      </c>
      <c r="H10" s="20">
        <v>120</v>
      </c>
      <c r="I10" s="20">
        <f>120-13.3</f>
        <v>106.7</v>
      </c>
      <c r="J10" s="20">
        <f t="shared" ref="J10:J14" si="0">I10*G10</f>
        <v>85.360000000000014</v>
      </c>
      <c r="K10" s="20">
        <v>2</v>
      </c>
      <c r="L10" s="20"/>
      <c r="M10" s="20"/>
      <c r="N10" s="20"/>
      <c r="O10" s="90">
        <f t="shared" ref="O10:O14" si="1">ROUND((N10/$I10),2)</f>
        <v>0</v>
      </c>
      <c r="P10" s="20"/>
      <c r="Q10" s="20"/>
      <c r="R10" s="90">
        <f t="shared" ref="R10:R14" si="2">ROUND((Q10/$I10),2)</f>
        <v>0</v>
      </c>
      <c r="S10" s="20"/>
      <c r="T10" s="20">
        <v>2.6</v>
      </c>
      <c r="U10" s="20">
        <v>3.13</v>
      </c>
      <c r="V10" s="91">
        <f t="shared" ref="V10:V14" si="3">ROUND((T10*U10*S10),2)</f>
        <v>0</v>
      </c>
      <c r="W10" s="20">
        <v>2.1000000000000001E-2</v>
      </c>
      <c r="X10" s="20">
        <f t="shared" ref="X10:X14" si="4">33.42</f>
        <v>33.42</v>
      </c>
      <c r="Y10" s="91">
        <f t="shared" ref="Y10:Y14" si="5">ROUND((W10*X10*S10),2)</f>
        <v>0</v>
      </c>
      <c r="Z10" s="20"/>
      <c r="AA10" s="20"/>
      <c r="AB10" s="20"/>
      <c r="AC10" s="91">
        <f t="shared" ref="AC10:AC14" si="6">ROUND((T10*U10*S10+W10*X10*S10+Z10*AA10*S10),2)</f>
        <v>0</v>
      </c>
      <c r="AD10" s="90">
        <f t="shared" ref="AD10:AD14" si="7">ROUND((AC10/$I10),2)</f>
        <v>0</v>
      </c>
      <c r="AE10" s="92">
        <f t="shared" ref="AE10:AE14" si="8">AC10*12</f>
        <v>0</v>
      </c>
      <c r="AF10" s="20">
        <v>6</v>
      </c>
      <c r="AG10" s="20">
        <v>6</v>
      </c>
      <c r="AH10" s="20">
        <v>6</v>
      </c>
      <c r="AI10" s="20">
        <v>6</v>
      </c>
      <c r="AJ10" s="20">
        <v>1.6</v>
      </c>
      <c r="AK10" s="90">
        <f t="shared" ref="AK10:AK14" si="9">ROUND((AH10*AJ10/12),2)</f>
        <v>0.8</v>
      </c>
      <c r="AL10" s="90">
        <v>391.01</v>
      </c>
      <c r="AM10" s="90">
        <f t="shared" ref="AM10:AM14" si="10">ROUND((AK10*AL10),2)</f>
        <v>312.81</v>
      </c>
      <c r="AN10" s="20">
        <v>6</v>
      </c>
      <c r="AO10" s="20">
        <v>6</v>
      </c>
      <c r="AP10" s="20">
        <v>6</v>
      </c>
      <c r="AQ10" s="20">
        <v>6</v>
      </c>
      <c r="AR10" s="20">
        <v>6</v>
      </c>
      <c r="AS10" s="20">
        <v>6</v>
      </c>
      <c r="AT10" s="20">
        <f t="shared" ref="AT10:AT14" si="11">AP10-AH10</f>
        <v>0</v>
      </c>
      <c r="AU10" s="20">
        <v>1.6</v>
      </c>
      <c r="AV10" s="90">
        <f t="shared" ref="AV10:AV14" si="12">ROUND((AP10*AU10/12),2)</f>
        <v>0.8</v>
      </c>
      <c r="AW10" s="90">
        <f t="shared" ref="AW10:AW12" si="13">ROUND((187.84*6+189.92*6)/12,2)</f>
        <v>188.88</v>
      </c>
      <c r="AX10" s="90">
        <v>151.1</v>
      </c>
      <c r="AY10" s="90">
        <f t="shared" ref="AY10:AY14" si="14">ROUND((AX10/$I10),2)</f>
        <v>1.42</v>
      </c>
      <c r="AZ10" s="90">
        <f t="shared" ref="AZ10:AZ14" si="15">ROUND((AP10*AU10*AL10)/12,2)</f>
        <v>312.81</v>
      </c>
      <c r="BA10" s="90">
        <f t="shared" ref="BA10:BA14" si="16">AX10-AZ10</f>
        <v>-161.71</v>
      </c>
      <c r="BB10" s="90">
        <v>151.1</v>
      </c>
      <c r="BC10" s="90">
        <v>1.42</v>
      </c>
      <c r="BD10" s="92">
        <f t="shared" ref="BD10:BD14" si="17">AX10*12</f>
        <v>1813.1999999999998</v>
      </c>
      <c r="BE10" s="90"/>
      <c r="BF10" s="90">
        <f t="shared" ref="BF10:BF14" si="18">ROUND((BE10/$I10),2)</f>
        <v>0</v>
      </c>
      <c r="BG10" s="90">
        <v>391.01</v>
      </c>
      <c r="BH10" s="90">
        <f t="shared" ref="BH10:BH14" si="19">ROUND((AV10*BG10),2)</f>
        <v>312.81</v>
      </c>
      <c r="BI10" s="90">
        <f t="shared" ref="BI10:BI14" si="20">ROUND((BH10/$I10),2)</f>
        <v>2.93</v>
      </c>
      <c r="BJ10" s="90">
        <f t="shared" ref="BJ10" si="21">BI10/AY10*100</f>
        <v>206.33802816901411</v>
      </c>
      <c r="BK10" s="90">
        <f t="shared" ref="BK10:BK14" si="22">BH10</f>
        <v>312.81</v>
      </c>
      <c r="BL10" s="90">
        <f t="shared" ref="BL10:BL14" si="23">ROUND((BK10/$I10),2)</f>
        <v>2.93</v>
      </c>
      <c r="BM10" s="90"/>
      <c r="BN10" s="90">
        <f t="shared" ref="BN10:BN14" si="24">BM10/6</f>
        <v>0</v>
      </c>
      <c r="BO10" s="90">
        <f t="shared" ref="BO10:BO14" si="25">BH10+BN10</f>
        <v>312.81</v>
      </c>
      <c r="BP10" s="90">
        <f t="shared" ref="BP10:BP14" si="26">BO10/I10</f>
        <v>2.9316776007497656</v>
      </c>
      <c r="BQ10" s="90"/>
      <c r="BR10" s="90">
        <f t="shared" ref="BR10:BR14" si="27">BQ10/6</f>
        <v>0</v>
      </c>
      <c r="BS10" s="90">
        <f t="shared" ref="BS10:BS14" si="28">BH10+BR10</f>
        <v>312.81</v>
      </c>
      <c r="BT10" s="90">
        <f t="shared" ref="BT10:BT14" si="29">BS10/I10</f>
        <v>2.9316776007497656</v>
      </c>
      <c r="BU10" s="90"/>
      <c r="BV10" s="93">
        <v>0.82054380000000005</v>
      </c>
      <c r="BW10" s="90">
        <f t="shared" ref="BW10:BW14" si="30">$I10*BV10</f>
        <v>87.552023460000001</v>
      </c>
      <c r="BX10" s="90">
        <f t="shared" ref="BX10:BX14" si="31">BW10*1.06</f>
        <v>92.805144867600006</v>
      </c>
      <c r="BY10" s="90"/>
      <c r="BZ10" s="90"/>
      <c r="CA10" s="90">
        <v>0.26506960299999999</v>
      </c>
      <c r="CB10" s="90">
        <f>$I10*CA10</f>
        <v>28.282926640099998</v>
      </c>
      <c r="CC10" s="90">
        <v>0.71072749999999996</v>
      </c>
      <c r="CD10" s="90">
        <f t="shared" ref="CD10:CD14" si="32">$CB10*CC10</f>
        <v>20.10145374360167</v>
      </c>
      <c r="CE10" s="90">
        <f t="shared" ref="CE10:CE14" si="33">CD10/$SA10*$SB10</f>
        <v>30.395929401265072</v>
      </c>
      <c r="CF10" s="90">
        <v>29.67372517601931</v>
      </c>
      <c r="CG10" s="90">
        <v>29.67372517601931</v>
      </c>
      <c r="CH10" s="90">
        <f t="shared" ref="CH10:CH14" si="34">ROUND((CG10*1.048),2)</f>
        <v>31.1</v>
      </c>
      <c r="CI10" s="90">
        <f>CH10/($SP10-$HL10)*($SX10-$HN10)</f>
        <v>32.637022811195088</v>
      </c>
      <c r="CJ10" s="90">
        <f t="shared" ref="CJ10:CJ14" si="35">ROUND((CH10*1.055),2)</f>
        <v>32.81</v>
      </c>
      <c r="CK10" s="90">
        <f t="shared" ref="CK10:CK14" si="36">CI10/($LA10-$HN10)*($LG10-$HP10)</f>
        <v>34.698657555992675</v>
      </c>
      <c r="CL10" s="90">
        <f t="shared" ref="CL10:CL14" si="37">CK10</f>
        <v>34.698657555992675</v>
      </c>
      <c r="CM10" s="94">
        <v>0.14899999999999999</v>
      </c>
      <c r="CN10" s="90">
        <f t="shared" ref="CN10:CN14" si="38">$BW10*CM10</f>
        <v>13.045251495539999</v>
      </c>
      <c r="CO10" s="90">
        <f t="shared" ref="CO10:CO14" si="39">CN10*1.06</f>
        <v>13.827966585272399</v>
      </c>
      <c r="CP10" s="90"/>
      <c r="CQ10" s="90">
        <v>3.9539251999999997E-2</v>
      </c>
      <c r="CR10" s="90">
        <f>$I10*CQ10</f>
        <v>4.2188381883999995</v>
      </c>
      <c r="CS10" s="90">
        <v>0.71072749999999996</v>
      </c>
      <c r="CT10" s="90">
        <f t="shared" ref="CT10:CT14" si="40">$CR10*CS10</f>
        <v>2.9984443185460603</v>
      </c>
      <c r="CU10" s="90">
        <f t="shared" ref="CU10:CU14" si="41">CT10/$SA10*$SB10</f>
        <v>4.5340253984944043</v>
      </c>
      <c r="CV10" s="90">
        <v>9.1703281919503485</v>
      </c>
      <c r="CW10" s="90">
        <f t="shared" ref="CW10:CW14" si="42">ROUND((CV10*1.048),2)</f>
        <v>9.61</v>
      </c>
      <c r="CX10" s="90">
        <f>CW10/($SP10-$HL10)*($SX10-$HN10)</f>
        <v>10.084944990854815</v>
      </c>
      <c r="CY10" s="90">
        <f t="shared" ref="CY10:CY14" si="43">ROUND((CW10*1.055),2)</f>
        <v>10.14</v>
      </c>
      <c r="CZ10" s="90">
        <f t="shared" ref="CZ10:CZ14" si="44">CX10/($LA10-$HN10)*($LG10-$HP10)</f>
        <v>10.721996756047895</v>
      </c>
      <c r="DA10" s="90">
        <f t="shared" ref="DA10:DA14" si="45">CZ10</f>
        <v>10.721996756047895</v>
      </c>
      <c r="DB10" s="93">
        <v>0.80939899999999998</v>
      </c>
      <c r="DC10" s="90">
        <f t="shared" ref="DC10:DC14" si="46">$I10*DB10</f>
        <v>86.362873300000004</v>
      </c>
      <c r="DD10" s="90">
        <f t="shared" ref="DD10:DD14" si="47">DC10*1.06</f>
        <v>91.544645698000011</v>
      </c>
      <c r="DE10" s="90"/>
      <c r="DF10" s="90"/>
      <c r="DG10" s="90">
        <v>0.16261500000000001</v>
      </c>
      <c r="DH10" s="90">
        <f>$I10*DG10</f>
        <v>17.351020500000001</v>
      </c>
      <c r="DI10" s="90">
        <v>0.71072749999999996</v>
      </c>
      <c r="DJ10" s="90">
        <f t="shared" ref="DJ10:DJ14" si="48">$DH10*DI10</f>
        <v>12.33184742241375</v>
      </c>
      <c r="DK10" s="90">
        <f t="shared" ref="DK10:DK14" si="49">DJ10/$SA10*$SB10</f>
        <v>18.647306230683569</v>
      </c>
      <c r="DL10" s="90">
        <v>14.751718390318066</v>
      </c>
      <c r="DM10" s="90">
        <f t="shared" ref="DM10:DM14" si="50">ROUND((DL10*1.048),2)</f>
        <v>15.46</v>
      </c>
      <c r="DN10" s="90">
        <f>DM10/($SP10-$HL10)*($SX10-$HN10)</f>
        <v>16.224063429616592</v>
      </c>
      <c r="DO10" s="90">
        <f t="shared" ref="DO10:DO14" si="51">ROUND((DM10*1.055),2)</f>
        <v>16.309999999999999</v>
      </c>
      <c r="DP10" s="90">
        <f t="shared" ref="DP10:DP14" si="52">DN10/($LA10-$HN10)*($LG10-$HP10)</f>
        <v>17.24891465645166</v>
      </c>
      <c r="DQ10" s="90">
        <f t="shared" ref="DQ10:DQ14" si="53">DP10</f>
        <v>17.24891465645166</v>
      </c>
      <c r="DR10" s="93">
        <v>3.1841000000000001E-2</v>
      </c>
      <c r="DS10" s="90">
        <f t="shared" ref="DS10:DS14" si="54">$I10*DR10</f>
        <v>3.3974347000000003</v>
      </c>
      <c r="DT10" s="90">
        <f t="shared" ref="DT10:DT14" si="55">DS10*1.06</f>
        <v>3.6012807820000003</v>
      </c>
      <c r="DU10" s="90"/>
      <c r="DV10" s="90">
        <v>6.1506199999999999E-3</v>
      </c>
      <c r="DW10" s="90">
        <f>$I10*DV10</f>
        <v>0.65627115400000002</v>
      </c>
      <c r="DX10" s="90">
        <v>0.71072749999999996</v>
      </c>
      <c r="DY10" s="90">
        <f t="shared" ref="DY10:DY14" si="56">$DW10*DX10</f>
        <v>0.46642995660453501</v>
      </c>
      <c r="DZ10" s="90">
        <f t="shared" ref="DZ10:DZ14" si="57">DY10/$SA10*$SB10</f>
        <v>0.70530083109532926</v>
      </c>
      <c r="EA10" s="90">
        <f t="shared" ref="EA10:EA14" si="58">ROUND((DZ10*1.048),2)</f>
        <v>0.74</v>
      </c>
      <c r="EB10" s="90">
        <f>EA10/($SP10-$HL10)*($SX10-$HN10)</f>
        <v>0.77657224695448124</v>
      </c>
      <c r="EC10" s="90">
        <f t="shared" ref="EC10:EC14" si="59">ROUND((EA10*1.055),2)</f>
        <v>0.78</v>
      </c>
      <c r="ED10" s="90">
        <f t="shared" ref="ED10:ED14" si="60">EB10/($LA10-$HN10)*($LG10-$HP10)</f>
        <v>0.82562722158953628</v>
      </c>
      <c r="EE10" s="90">
        <f t="shared" ref="EE10:EE14" si="61">ED10</f>
        <v>0.82562722158953628</v>
      </c>
      <c r="EF10" s="94">
        <v>0.85293354333000004</v>
      </c>
      <c r="EG10" s="90">
        <f t="shared" ref="EG10:EG14" si="62">$J10*EF10</f>
        <v>72.806407258648818</v>
      </c>
      <c r="EH10" s="90">
        <f t="shared" ref="EH10:EH14" si="63">EG10*1.06</f>
        <v>77.174791694167752</v>
      </c>
      <c r="EI10" s="90"/>
      <c r="EJ10" s="90">
        <v>0.58970610199999995</v>
      </c>
      <c r="EK10" s="90">
        <f t="shared" ref="EK10:EK11" si="64">$J10*EJ10</f>
        <v>50.337312866720005</v>
      </c>
      <c r="EL10" s="90">
        <v>0.71072749999999996</v>
      </c>
      <c r="EM10" s="90">
        <f t="shared" ref="EM10:EM14" si="65">EK10*EL10</f>
        <v>35.77611253048174</v>
      </c>
      <c r="EN10" s="90">
        <f t="shared" ref="EN10:EN14" si="66">EM10/$SA10*$SB10</f>
        <v>54.097987369414732</v>
      </c>
      <c r="EO10" s="90">
        <v>52.758767248962272</v>
      </c>
      <c r="EP10" s="90">
        <f t="shared" ref="EP10:EP14" si="67">ROUND((EO10*1.048),2)</f>
        <v>55.29</v>
      </c>
      <c r="EQ10" s="90">
        <f>EP10/($SP10-$HL10)*($SX10-$HN10)</f>
        <v>58.022539910963879</v>
      </c>
      <c r="ER10" s="90">
        <f t="shared" ref="ER10:ER14" si="68">ROUND((EP10*1.055),2)</f>
        <v>58.33</v>
      </c>
      <c r="ES10" s="90">
        <f t="shared" ref="ES10:ES14" si="69">EQ10/($LA10-$HN10)*($LG10-$HP10)</f>
        <v>61.687742002277659</v>
      </c>
      <c r="ET10" s="90">
        <f t="shared" ref="ET10:ET14" si="70">ES10</f>
        <v>61.687742002277659</v>
      </c>
      <c r="EU10" s="94">
        <v>0.14899999999999999</v>
      </c>
      <c r="EV10" s="90">
        <f t="shared" ref="EV10:EV14" si="71">$EG10*EU10</f>
        <v>10.848154681538674</v>
      </c>
      <c r="EW10" s="90">
        <f t="shared" ref="EW10:EW14" si="72">EV10*1.06</f>
        <v>11.499043962430994</v>
      </c>
      <c r="EX10" s="90"/>
      <c r="EY10" s="90">
        <v>8.7874999999999995E-2</v>
      </c>
      <c r="EZ10" s="90">
        <f t="shared" ref="EZ10:EZ11" si="73">$J10*EY10</f>
        <v>7.5010100000000008</v>
      </c>
      <c r="FA10" s="90">
        <v>0.71072749999999996</v>
      </c>
      <c r="FB10" s="90">
        <f t="shared" ref="FB10:FB14" si="74">EZ10*FA10</f>
        <v>5.3311740847750002</v>
      </c>
      <c r="FC10" s="90">
        <f t="shared" ref="FC10:FC14" si="75">FB10/$SA10*$SB10</f>
        <v>8.0614065616151951</v>
      </c>
      <c r="FD10" s="90">
        <v>16.316010765660447</v>
      </c>
      <c r="FE10" s="90">
        <f t="shared" ref="FE10:FE14" si="76">ROUND((FD10*1.048),2)</f>
        <v>17.100000000000001</v>
      </c>
      <c r="FF10" s="90">
        <f>FE10/($SP10-$HL10)*($SX10-$HN10)</f>
        <v>17.945115436380579</v>
      </c>
      <c r="FG10" s="90">
        <f t="shared" ref="FG10:FG14" si="77">ROUND((FE10*1.055),2)</f>
        <v>18.04</v>
      </c>
      <c r="FH10" s="90">
        <f t="shared" ref="FH10:FH14" si="78">FF10/($LA10-$HN10)*($LG10-$HP10)</f>
        <v>19.078683093487932</v>
      </c>
      <c r="FI10" s="90">
        <f t="shared" ref="FI10:FI14" si="79">FH10</f>
        <v>19.078683093487932</v>
      </c>
      <c r="FJ10" s="93">
        <v>0.49981642240000002</v>
      </c>
      <c r="FK10" s="90">
        <f t="shared" ref="FK10:FK14" si="80">$J10*FJ10</f>
        <v>42.664329816064011</v>
      </c>
      <c r="FL10" s="90">
        <f t="shared" ref="FL10:FL14" si="81">FK10*1.06</f>
        <v>45.224189605027853</v>
      </c>
      <c r="FM10" s="90"/>
      <c r="FN10" s="90">
        <v>0.35816899099999999</v>
      </c>
      <c r="FO10" s="90">
        <f t="shared" ref="FO10:FO11" si="82">$J10*FN10</f>
        <v>30.573305071760004</v>
      </c>
      <c r="FP10" s="90">
        <v>0.71072749999999996</v>
      </c>
      <c r="FQ10" s="90">
        <f t="shared" ref="FQ10:FQ14" si="83">FO10*FP10</f>
        <v>21.729288680389306</v>
      </c>
      <c r="FR10" s="90">
        <f t="shared" ref="FR10:FR14" si="84">FQ10/$SA10*$SB10</f>
        <v>32.857420816096656</v>
      </c>
      <c r="FS10" s="90">
        <v>25.901666507256895</v>
      </c>
      <c r="FT10" s="90">
        <f t="shared" ref="FT10:FT14" si="85">ROUND((FS10*1.048),2)</f>
        <v>27.14</v>
      </c>
      <c r="FU10" s="90">
        <v>25.923526004659156</v>
      </c>
      <c r="FV10" s="90">
        <f t="shared" ref="FV10:FV14" si="86">ROUND((FU10*1.048),2)</f>
        <v>27.17</v>
      </c>
      <c r="FW10" s="90">
        <f>FV10/($SP10-$HL10)*($SX10-$HN10)</f>
        <v>28.51279452669359</v>
      </c>
      <c r="FX10" s="90">
        <f t="shared" ref="FX10:FX14" si="87">ROUND((FV10*1.055),2)</f>
        <v>28.66</v>
      </c>
      <c r="FY10" s="90">
        <f t="shared" ref="FY10:FY14" si="88">FW10/($LA10-$HN10)*($LG10-$HP10)</f>
        <v>30.313907581875274</v>
      </c>
      <c r="FZ10" s="90">
        <f t="shared" ref="FZ10:FZ14" si="89">FY10</f>
        <v>30.313907581875274</v>
      </c>
      <c r="GA10" s="94">
        <v>1.352261642E-2</v>
      </c>
      <c r="GB10" s="90">
        <f t="shared" ref="GB10:GB14" si="90">$J10*GA10</f>
        <v>1.1542905376112</v>
      </c>
      <c r="GC10" s="90">
        <f t="shared" ref="GC10:GC14" si="91">GB10*1.06</f>
        <v>1.2235479698678722</v>
      </c>
      <c r="GD10" s="90"/>
      <c r="GE10" s="90">
        <v>1.0795000000000001E-2</v>
      </c>
      <c r="GF10" s="90">
        <f t="shared" ref="GF10:GF11" si="92">$J10*GE10</f>
        <v>0.9214612000000002</v>
      </c>
      <c r="GG10" s="90">
        <v>0.71072749999999996</v>
      </c>
      <c r="GH10" s="90">
        <f t="shared" ref="GH10:GH14" si="93">GF10*GG10</f>
        <v>0.65490781502300011</v>
      </c>
      <c r="GI10" s="90">
        <f t="shared" ref="GI10:GI14" si="94">GH10/$SA10*$SB10</f>
        <v>0.99030308771136311</v>
      </c>
      <c r="GJ10" s="90">
        <f t="shared" ref="GJ10:GJ14" si="95">ROUND((GI10*1.048),2)</f>
        <v>1.04</v>
      </c>
      <c r="GK10" s="90">
        <f>GJ10/($SP10-$HL10)*($SX10-$HN10)</f>
        <v>1.0913988335576492</v>
      </c>
      <c r="GL10" s="90">
        <f t="shared" ref="GL10:GL14" si="96">ROUND((GJ10*1.055),2)</f>
        <v>1.1000000000000001</v>
      </c>
      <c r="GM10" s="90">
        <f t="shared" ref="GM10:GM14" si="97">GK10/($LA10-$HN10)*($LG10-$HP10)</f>
        <v>1.1603409600717807</v>
      </c>
      <c r="GN10" s="90">
        <f t="shared" ref="GN10:GN14" si="98">GM10</f>
        <v>1.1603409600717807</v>
      </c>
      <c r="GO10" s="90"/>
      <c r="GP10" s="90">
        <f t="shared" ref="GP10:GP14" si="99">GO10/12</f>
        <v>0</v>
      </c>
      <c r="GQ10" s="90"/>
      <c r="GR10" s="90">
        <f t="shared" ref="GR10:GR14" si="100">GQ10/12</f>
        <v>0</v>
      </c>
      <c r="GS10" s="90">
        <f t="shared" ref="GS10:GS14" si="101">GP10+GR10</f>
        <v>0</v>
      </c>
      <c r="GT10" s="90">
        <f t="shared" ref="GT10:GT14" si="102">ROUND((GS10/$I10),2)</f>
        <v>0</v>
      </c>
      <c r="GU10" s="90"/>
      <c r="GV10" s="90"/>
      <c r="GW10" s="90">
        <f t="shared" ref="GW10:GW14" si="103">(GU10+GV10)/12</f>
        <v>0</v>
      </c>
      <c r="GX10" s="90">
        <f t="shared" ref="GX10:GX14" si="104">ROUND((GW10/$I10),2)</f>
        <v>0</v>
      </c>
      <c r="GY10" s="90"/>
      <c r="GZ10" s="90"/>
      <c r="HA10" s="90">
        <f t="shared" ref="HA10:HA14" si="105">(GY10+GZ10)/12</f>
        <v>0</v>
      </c>
      <c r="HB10" s="90">
        <f t="shared" ref="HB10:HB14" si="106">ROUND((HA10/$I10),2)</f>
        <v>0</v>
      </c>
      <c r="HC10" s="90"/>
      <c r="HD10" s="90"/>
      <c r="HE10" s="90">
        <f t="shared" ref="HE10:HE14" si="107">(HC10+HD10)/12</f>
        <v>0</v>
      </c>
      <c r="HF10" s="90">
        <f t="shared" ref="HF10:HF14" si="108">ROUND((HE10/$I10),2)</f>
        <v>0</v>
      </c>
      <c r="HG10" s="90"/>
      <c r="HH10" s="90"/>
      <c r="HI10" s="90">
        <v>0.96</v>
      </c>
      <c r="HJ10" s="90">
        <f t="shared" ref="HJ10:HJ14" si="109">$I10*HI10</f>
        <v>102.432</v>
      </c>
      <c r="HK10" s="90">
        <f t="shared" ref="HK10:HK14" si="110">HL10/I10</f>
        <v>1.0060918462980317</v>
      </c>
      <c r="HL10" s="90">
        <f t="shared" ref="HL10:HL14" si="111">ROUND((HJ10*1.048),2)</f>
        <v>107.35</v>
      </c>
      <c r="HM10" s="90">
        <v>1.07</v>
      </c>
      <c r="HN10" s="90">
        <f t="shared" ref="HN10:HN14" si="112">I10*HM10</f>
        <v>114.16900000000001</v>
      </c>
      <c r="HO10" s="90">
        <v>1.1499999999999999</v>
      </c>
      <c r="HP10" s="90">
        <f t="shared" ref="HP10:HP14" si="113">ROUND($I10*HO10,2)</f>
        <v>122.71</v>
      </c>
      <c r="HQ10" s="90">
        <v>1.1499999999999999</v>
      </c>
      <c r="HR10" s="90">
        <f t="shared" ref="HR10:HR14" si="114">HP10</f>
        <v>122.71</v>
      </c>
      <c r="HS10" s="90">
        <v>0.96</v>
      </c>
      <c r="HT10" s="90">
        <v>34.060910576000005</v>
      </c>
      <c r="HU10" s="90" t="e">
        <f>HT10*#REF!</f>
        <v>#REF!</v>
      </c>
      <c r="HV10" s="20">
        <v>2.5</v>
      </c>
      <c r="HW10" s="90">
        <v>3.1</v>
      </c>
      <c r="HX10" s="90">
        <f t="shared" ref="HX10:HX14" si="115">$I10*HW10</f>
        <v>330.77000000000004</v>
      </c>
      <c r="HY10" s="90">
        <v>1.06</v>
      </c>
      <c r="HZ10" s="90">
        <f t="shared" ref="HZ10:HZ14" si="116">HX10*HY10</f>
        <v>350.61620000000005</v>
      </c>
      <c r="IA10" s="90">
        <f t="shared" ref="IA10:IA14" si="117">ROUND((HZ10/I10),2)</f>
        <v>3.29</v>
      </c>
      <c r="IB10" s="90">
        <f t="shared" ref="IB10:IB14" si="118">ROUND((IA10*1.048),2)</f>
        <v>3.45</v>
      </c>
      <c r="IC10" s="90">
        <f t="shared" ref="IC10:IC14" si="119">I10*IB10</f>
        <v>368.11500000000001</v>
      </c>
      <c r="ID10" s="90">
        <f t="shared" ref="ID10:ID14" si="120">ROUND((IB10*1.055),2)</f>
        <v>3.64</v>
      </c>
      <c r="IE10" s="90">
        <f t="shared" ref="IE10:IE14" si="121">ROUND((I10*ID10),2)</f>
        <v>388.39</v>
      </c>
      <c r="IF10" s="90">
        <f t="shared" ref="IF10:IF14" si="122">ROUND((IE10/$I10),2)</f>
        <v>3.64</v>
      </c>
      <c r="IG10" s="92">
        <f t="shared" ref="IG10:IG14" si="123">IE10*12</f>
        <v>4660.68</v>
      </c>
      <c r="IH10" s="90">
        <v>3.91</v>
      </c>
      <c r="II10" s="90">
        <f t="shared" ref="II10:II14" si="124">ROUND(IH10*1.051,2)</f>
        <v>4.1100000000000003</v>
      </c>
      <c r="IJ10" s="90">
        <f t="shared" ref="IJ10:IJ14" si="125">ROUND((I10*II10),2)</f>
        <v>438.54</v>
      </c>
      <c r="IK10" s="90">
        <f t="shared" ref="IK10:IK14" si="126">ROUND((IJ10/$I10),2)</f>
        <v>4.1100000000000003</v>
      </c>
      <c r="IL10" s="90">
        <f t="shared" ref="IL10:IL14" si="127">IJ10</f>
        <v>438.54</v>
      </c>
      <c r="IM10" s="90">
        <f t="shared" ref="IM10:IM14" si="128">ROUND((IL10/$I10),2)</f>
        <v>4.1100000000000003</v>
      </c>
      <c r="IN10" s="90">
        <f t="shared" ref="IN10:IN14" si="129">IL10</f>
        <v>438.54</v>
      </c>
      <c r="IO10" s="90">
        <f t="shared" ref="IO10:IO14" si="130">ROUND((IN10/$I10),2)</f>
        <v>4.1100000000000003</v>
      </c>
      <c r="IP10" s="93">
        <v>0.37052404126999999</v>
      </c>
      <c r="IQ10" s="90">
        <f t="shared" ref="IQ10:IQ14" si="131">$J10*IP10</f>
        <v>31.627932162807205</v>
      </c>
      <c r="IR10" s="90">
        <f t="shared" ref="IR10:IR14" si="132">IQ10*1.06</f>
        <v>33.525608092575638</v>
      </c>
      <c r="IS10" s="90">
        <v>108693.96</v>
      </c>
      <c r="IT10" s="90">
        <v>3053.33</v>
      </c>
      <c r="IU10" s="94"/>
      <c r="IV10" s="94"/>
      <c r="IW10" s="94">
        <v>1.6976990999999999</v>
      </c>
      <c r="IX10" s="90">
        <f t="shared" ref="IX10:IX11" si="133">$J10*IW10</f>
        <v>144.91559517600001</v>
      </c>
      <c r="IY10" s="93">
        <v>0.56339614052999998</v>
      </c>
      <c r="IZ10" s="90">
        <f t="shared" ref="IZ10:IZ14" si="134">$I10*IY10</f>
        <v>60.114368194550998</v>
      </c>
      <c r="JA10" s="90">
        <f t="shared" ref="JA10:JA14" si="135">(ROUND((IZ10*1.048),2))+TB10</f>
        <v>63</v>
      </c>
      <c r="JB10" s="90">
        <f>JA10/($SP10-$HL10)*($SX10-$HN10)</f>
        <v>66.113583186665295</v>
      </c>
      <c r="JC10" s="90">
        <f t="shared" ref="JC10:JC14" si="136">ROUND((JA10*1.055),2)</f>
        <v>66.47</v>
      </c>
      <c r="JD10" s="90">
        <f t="shared" ref="JD10:JD14" si="137">JB10/($LA10-$HN10)*($LG10-$HP10)</f>
        <v>70.289885081271336</v>
      </c>
      <c r="JE10" s="90">
        <f t="shared" ref="JE10:JE14" si="138">JD10</f>
        <v>70.289885081271336</v>
      </c>
      <c r="JF10" s="93">
        <v>4.2278943710000003E-2</v>
      </c>
      <c r="JG10" s="90">
        <f t="shared" ref="JG10:JG14" si="139">$J10*JF10</f>
        <v>3.608930635085601</v>
      </c>
      <c r="JH10" s="90">
        <f t="shared" ref="JH10:JH14" si="140">JG10*1.06</f>
        <v>3.8254664731907373</v>
      </c>
      <c r="JI10" s="20">
        <v>462.98</v>
      </c>
      <c r="JJ10" s="20"/>
      <c r="JK10" s="20">
        <v>6.0564354000000001E-2</v>
      </c>
      <c r="JL10" s="90">
        <f t="shared" ref="JL10:JL11" si="141">$J10*JK10</f>
        <v>5.169773257440001</v>
      </c>
      <c r="JM10" s="93">
        <v>6.7347080040000007E-2</v>
      </c>
      <c r="JN10" s="90">
        <f t="shared" ref="JN10:JN14" si="142">$I10*JM10</f>
        <v>7.1859334402680011</v>
      </c>
      <c r="JO10" s="90">
        <f t="shared" ref="JO10:JO14" si="143">ROUND((JN10*1.048),2)</f>
        <v>7.53</v>
      </c>
      <c r="JP10" s="90">
        <f>JO10/($SP10-$HL10)*($SX10-$HN10)</f>
        <v>7.9021473237395181</v>
      </c>
      <c r="JQ10" s="90">
        <f t="shared" ref="JQ10:JQ14" si="144">ROUND((JO10*1.055),2)</f>
        <v>7.94</v>
      </c>
      <c r="JR10" s="90">
        <f t="shared" ref="JR10:JR14" si="145">JP10/($LA10-$HN10)*($LG10-$HP10)</f>
        <v>8.4013148359043353</v>
      </c>
      <c r="JS10" s="90">
        <f t="shared" ref="JS10:JS14" si="146">JR10</f>
        <v>8.4013148359043353</v>
      </c>
      <c r="JT10" s="93">
        <v>7.3220517000000002E-3</v>
      </c>
      <c r="JU10" s="90">
        <f t="shared" ref="JU10:JU14" si="147">$J10*JT10</f>
        <v>0.62501033311200016</v>
      </c>
      <c r="JV10" s="90">
        <f t="shared" ref="JV10:JV14" si="148">ROUND((JU10*1.048),2)</f>
        <v>0.66</v>
      </c>
      <c r="JW10" s="90">
        <f>JV10/($SP10-$HL10)*($SX10-$HN10)</f>
        <v>0.69261849052696978</v>
      </c>
      <c r="JX10" s="90">
        <f t="shared" ref="JX10:JX14" si="149">ROUND((JV10*1.055),2)</f>
        <v>0.7</v>
      </c>
      <c r="JY10" s="90">
        <f t="shared" ref="JY10:JY14" si="150">JW10/($LA10-$HN10)*($LG10-$HP10)</f>
        <v>0.73637022466093782</v>
      </c>
      <c r="JZ10" s="90">
        <f t="shared" ref="JZ10:JZ14" si="151">JY10</f>
        <v>0.73637022466093782</v>
      </c>
      <c r="KA10" s="90">
        <v>8.3090999999999998E-3</v>
      </c>
      <c r="KB10" s="90">
        <f t="shared" ref="KB10:KB11" si="152">$J10*KA10</f>
        <v>0.70926477600000015</v>
      </c>
      <c r="KC10" s="90" t="e">
        <f>KB10*#REF!</f>
        <v>#REF!</v>
      </c>
      <c r="KD10" s="90">
        <v>16587.36</v>
      </c>
      <c r="KE10" s="90">
        <v>17977.669999999998</v>
      </c>
      <c r="KF10" s="90"/>
      <c r="KG10" s="90">
        <f t="shared" ref="KG10:KG11" si="153">I10/KD10*KE10</f>
        <v>115.64332051634497</v>
      </c>
      <c r="KH10" s="90" t="e">
        <f>KG10/(BW10+#REF!)*(CB10+#REF!)</f>
        <v>#REF!</v>
      </c>
      <c r="KI10" s="90">
        <v>0.8</v>
      </c>
      <c r="KJ10" s="94"/>
      <c r="KK10" s="90">
        <f t="shared" ref="KK10:KK14" si="154">$I10*KJ10</f>
        <v>0</v>
      </c>
      <c r="KL10" s="93">
        <v>1.295215</v>
      </c>
      <c r="KM10" s="90">
        <v>118.93850293758101</v>
      </c>
      <c r="KN10" s="90">
        <f t="shared" ref="KN10:KN14" si="155">KM10*1.06</f>
        <v>126.07481311383587</v>
      </c>
      <c r="KO10" s="90" t="e">
        <f>BW10+CN10+DC10+DS10+EG10+EV10+FK10+GB10+#REF!+#REF!+HJ10+HX10+IQ10+JG10+JU10+KK10+KM10</f>
        <v>#REF!</v>
      </c>
      <c r="KP10" s="90"/>
      <c r="KQ10" s="90">
        <v>0.50814739200000003</v>
      </c>
      <c r="KR10" s="90">
        <f>$I10*KQ10</f>
        <v>54.219326726400006</v>
      </c>
      <c r="KS10" s="90">
        <v>0.71072749999999996</v>
      </c>
      <c r="KT10" s="90">
        <f t="shared" ref="KT10:KT14" si="156">KR10*KS10</f>
        <v>38.535166535937456</v>
      </c>
      <c r="KU10" s="90">
        <f t="shared" ref="KU10:KU14" si="157">KT10/$SA10*$SB10</f>
        <v>58.270024468512787</v>
      </c>
      <c r="KV10" s="90">
        <f t="shared" ref="KV10:KV14" si="158">ROUND((KU10*1.048),2)</f>
        <v>61.07</v>
      </c>
      <c r="KW10" s="90">
        <f>KV10/($SP10-$HL10)*($SX10-$HN10)</f>
        <v>64.088198812851573</v>
      </c>
      <c r="KX10" s="90">
        <f t="shared" ref="KX10:KX14" si="159">ROUND((KV10*1.055),2)</f>
        <v>64.430000000000007</v>
      </c>
      <c r="KY10" s="90">
        <f t="shared" ref="KY10:KY14" si="160">KW10/($LA10-$HN10)*($LG10-$HP10)</f>
        <v>68.136560030368898</v>
      </c>
      <c r="KZ10" s="90">
        <f t="shared" ref="KZ10:KZ14" si="161">KY10</f>
        <v>68.136560030368898</v>
      </c>
      <c r="LA10" s="90">
        <f t="shared" ref="LA10:LA14" si="162">CI10+CX10+DN10+EB10+EQ10+FF10+FW10+GK10+HN10+JB10+JP10+JW10+KW10</f>
        <v>418.2600000000001</v>
      </c>
      <c r="LB10" s="90">
        <f t="shared" ref="LB10:LB14" si="163">ROUND((LA10/$I10),2)</f>
        <v>3.92</v>
      </c>
      <c r="LC10" s="92">
        <f t="shared" ref="LC10:LC14" si="164">LA10*12</f>
        <v>5019.1200000000008</v>
      </c>
      <c r="LD10" s="92">
        <v>4.21</v>
      </c>
      <c r="LE10" s="92">
        <v>449.20999999999992</v>
      </c>
      <c r="LF10" s="90">
        <f t="shared" ref="LF10:LF14" si="165">ROUND(ROUND(LD10-0.23,2)*1.051,2)</f>
        <v>4.18</v>
      </c>
      <c r="LG10" s="90">
        <f t="shared" ref="LG10:LG14" si="166">ROUND(I10*LF10,2)</f>
        <v>446.01</v>
      </c>
      <c r="LH10" s="90">
        <f t="shared" ref="LH10:LH14" si="167">LA10*1.075</f>
        <v>449.62950000000012</v>
      </c>
      <c r="LI10" s="90">
        <f t="shared" ref="LI10:LI14" si="168">ROUND((LH10/$I10),2)</f>
        <v>4.21</v>
      </c>
      <c r="LJ10" s="90">
        <f t="shared" ref="LJ10:LJ14" si="169">CK10+CZ10+DP10+ED10+ES10+FH10+FY10+GM10+HP10+JD10+JR10+JY10+KY10</f>
        <v>446.00999999999993</v>
      </c>
      <c r="LK10" s="90">
        <f t="shared" ref="LK10:LK14" si="170">ROUND((LJ10/$I10),2)</f>
        <v>4.18</v>
      </c>
      <c r="LL10" s="90">
        <f t="shared" ref="LL10:LL14" si="171">LJ10</f>
        <v>446.00999999999993</v>
      </c>
      <c r="LM10" s="90">
        <f t="shared" ref="LM10:LM14" si="172">ROUND((LL10/$I10),2)</f>
        <v>4.18</v>
      </c>
      <c r="LN10" s="95">
        <v>0.46</v>
      </c>
      <c r="LO10" s="95">
        <f t="shared" ref="LO10:LO14" si="173">ROUND(($I10*LN10),2)</f>
        <v>49.08</v>
      </c>
      <c r="LP10" s="95"/>
      <c r="LQ10" s="95">
        <f t="shared" ref="LQ10:LQ14" si="174">ROUND(($I10*LP10),2)</f>
        <v>0</v>
      </c>
      <c r="LR10" s="90"/>
      <c r="LS10" s="90"/>
      <c r="LT10" s="90">
        <f t="shared" ref="LT10:LT14" si="175">ROUND((LS10*1.048),2)</f>
        <v>0</v>
      </c>
      <c r="LU10" s="90"/>
      <c r="LV10" s="90">
        <f t="shared" ref="LV10:LV14" si="176">ROUND((LT10*1.055),2)</f>
        <v>0</v>
      </c>
      <c r="LW10" s="90">
        <f t="shared" ref="LW10:LW14" si="177">LV10*1.074</f>
        <v>0</v>
      </c>
      <c r="LX10" s="90"/>
      <c r="LY10" s="90"/>
      <c r="LZ10" s="90">
        <f t="shared" ref="LZ10:LZ14" si="178">ROUND((LY10*1.048),2)</f>
        <v>0</v>
      </c>
      <c r="MA10" s="90"/>
      <c r="MB10" s="90">
        <f t="shared" ref="MB10:MB14" si="179">ROUND((LZ10*1.055),2)</f>
        <v>0</v>
      </c>
      <c r="MC10" s="90">
        <f t="shared" ref="MC10:MC14" si="180">MB10*1.074</f>
        <v>0</v>
      </c>
      <c r="MD10" s="90"/>
      <c r="ME10" s="90"/>
      <c r="MF10" s="90">
        <f t="shared" ref="MF10:MF14" si="181">ROUND((ME10*1.048),2)</f>
        <v>0</v>
      </c>
      <c r="MG10" s="90"/>
      <c r="MH10" s="90">
        <f t="shared" ref="MH10:MH14" si="182">ROUND((MF10*1.055),2)</f>
        <v>0</v>
      </c>
      <c r="MI10" s="90">
        <f t="shared" ref="MI10:MI14" si="183">MH10*1.074</f>
        <v>0</v>
      </c>
      <c r="MJ10" s="90"/>
      <c r="MK10" s="90"/>
      <c r="ML10" s="90">
        <f t="shared" ref="ML10:ML14" si="184">ROUND((MK10*1.048),2)</f>
        <v>0</v>
      </c>
      <c r="MM10" s="90"/>
      <c r="MN10" s="90">
        <f t="shared" ref="MN10:MN14" si="185">ROUND((ML10*1.055),2)</f>
        <v>0</v>
      </c>
      <c r="MO10" s="90">
        <f t="shared" ref="MO10:MO14" si="186">MN10*1.074</f>
        <v>0</v>
      </c>
      <c r="MP10" s="90">
        <f t="shared" ref="MP10:MP14" si="187">LV10+MB10+MH10+MN10</f>
        <v>0</v>
      </c>
      <c r="MQ10" s="90">
        <f t="shared" ref="MQ10:MQ14" si="188">ROUND((MP10/$I10),2)</f>
        <v>0</v>
      </c>
      <c r="MR10" s="90">
        <f t="shared" ref="MR10:MR14" si="189">LW10+MC10+MI10+MO10</f>
        <v>0</v>
      </c>
      <c r="MS10" s="90">
        <f t="shared" ref="MS10:MS14" si="190">ROUND((MR10/$I10),2)</f>
        <v>0</v>
      </c>
      <c r="MT10" s="95"/>
      <c r="MU10" s="95">
        <f t="shared" ref="MU10:MU14" si="191">ROUND(($I10*MT10),2)</f>
        <v>0</v>
      </c>
      <c r="MV10" s="92">
        <f t="shared" ref="MV10:MV14" si="192">MU10*12</f>
        <v>0</v>
      </c>
      <c r="MW10" s="95"/>
      <c r="MX10" s="95">
        <f t="shared" ref="MX10:MX14" si="193">ROUND(($I10*MW10),2)</f>
        <v>0</v>
      </c>
      <c r="MY10" s="95"/>
      <c r="MZ10" s="95">
        <f t="shared" ref="MZ10:MZ14" si="194">ROUND(($I10*MY10),2)</f>
        <v>0</v>
      </c>
      <c r="NA10" s="95"/>
      <c r="NB10" s="95">
        <f t="shared" ref="NB10:NB14" si="195">ROUND(($I10*NA10),2)</f>
        <v>0</v>
      </c>
      <c r="NC10" s="92">
        <f t="shared" ref="NC10:NC14" si="196">NB10*12</f>
        <v>0</v>
      </c>
      <c r="ND10" s="95"/>
      <c r="NE10" s="95">
        <f t="shared" ref="NE10:NE14" si="197">ROUND(($I10*ND10),2)</f>
        <v>0</v>
      </c>
      <c r="NF10" s="95"/>
      <c r="NG10" s="95">
        <f t="shared" ref="NG10:NG14" si="198">ROUND(($I10*NF10),2)</f>
        <v>0</v>
      </c>
      <c r="NH10" s="95"/>
      <c r="NI10" s="95"/>
      <c r="NJ10" s="95">
        <f t="shared" ref="NJ10:NJ14" si="199">ROUND(($I10*NI10),2)</f>
        <v>0</v>
      </c>
      <c r="NK10" s="92">
        <f t="shared" ref="NK10:NK14" si="200">NJ10*12</f>
        <v>0</v>
      </c>
      <c r="NL10" s="95"/>
      <c r="NM10" s="95">
        <f t="shared" ref="NM10:NM14" si="201">ROUND(($I10*NL10),2)</f>
        <v>0</v>
      </c>
      <c r="NN10" s="95"/>
      <c r="NO10" s="95">
        <f t="shared" ref="NO10:NO14" si="202">ROUND(($I10*NN10),2)</f>
        <v>0</v>
      </c>
      <c r="NP10" s="95"/>
      <c r="NQ10" s="95">
        <f t="shared" ref="NQ10:NQ14" si="203">ROUND(($I10*NP10),2)</f>
        <v>0</v>
      </c>
      <c r="NR10" s="92">
        <f t="shared" ref="NR10:NR14" si="204">NQ10*12</f>
        <v>0</v>
      </c>
      <c r="NS10" s="95"/>
      <c r="NT10" s="95">
        <f t="shared" ref="NT10:NT14" si="205">ROUND(($I10*NS10),2)</f>
        <v>0</v>
      </c>
      <c r="NU10" s="95"/>
      <c r="NV10" s="95">
        <f t="shared" ref="NV10:NV14" si="206">ROUND(($I10*NU10),2)</f>
        <v>0</v>
      </c>
      <c r="NW10" s="95"/>
      <c r="NX10" s="95">
        <f t="shared" ref="NX10:NX14" si="207">ROUND(($I10*NW10),2)</f>
        <v>0</v>
      </c>
      <c r="NY10" s="92">
        <f t="shared" ref="NY10:NY14" si="208">NX10*12</f>
        <v>0</v>
      </c>
      <c r="NZ10" s="95"/>
      <c r="OA10" s="95">
        <f t="shared" ref="OA10:OA14" si="209">ROUND(($I10*NZ10),2)</f>
        <v>0</v>
      </c>
      <c r="OB10" s="95"/>
      <c r="OC10" s="95">
        <f t="shared" ref="OC10:OC14" si="210">ROUND(($I10*OB10),2)</f>
        <v>0</v>
      </c>
      <c r="OD10" s="90">
        <v>623.13</v>
      </c>
      <c r="OE10" s="90">
        <f t="shared" ref="OE10:OE14" si="211">ROUND((OD10/$I10),2)</f>
        <v>5.84</v>
      </c>
      <c r="OF10" s="92">
        <f t="shared" ref="OF10:OF14" si="212">OD10*12</f>
        <v>7477.5599999999995</v>
      </c>
      <c r="OG10" s="96">
        <v>151.1</v>
      </c>
      <c r="OH10" s="96">
        <v>1.42</v>
      </c>
      <c r="OI10" s="90">
        <v>774.64</v>
      </c>
      <c r="OJ10" s="90">
        <f t="shared" ref="OJ10:OJ14" si="213">ROUND((OI10/$I10),2)</f>
        <v>7.26</v>
      </c>
      <c r="OK10" s="90">
        <f t="shared" ref="OK10:OK14" si="214">AX10+OD10</f>
        <v>774.23</v>
      </c>
      <c r="OL10" s="90">
        <f t="shared" ref="OL10:OL14" si="215">ROUND((OK10/$I10),2)</f>
        <v>7.26</v>
      </c>
      <c r="OM10" s="90">
        <f t="shared" ref="OM10:OM14" si="216">OJ10-OL10</f>
        <v>0</v>
      </c>
      <c r="ON10" s="90">
        <v>623.13</v>
      </c>
      <c r="OO10" s="90">
        <f t="shared" ref="OO10:OO14" si="217">ROUND((ON10/$I10),2)</f>
        <v>5.84</v>
      </c>
      <c r="OP10" s="90">
        <v>623.54</v>
      </c>
      <c r="OQ10" s="90">
        <v>5.84</v>
      </c>
      <c r="OR10" s="90">
        <f t="shared" ref="OR10:OR14" si="218">OO10-OQ10</f>
        <v>0</v>
      </c>
      <c r="OS10" s="90">
        <f t="shared" ref="OS10:OS14" si="219">OJ10-VB10</f>
        <v>5.84</v>
      </c>
      <c r="OT10" s="90">
        <v>623.13</v>
      </c>
      <c r="OU10" s="90">
        <f t="shared" ref="OU10:OU14" si="220">ROUND((OT10/$I10),2)</f>
        <v>5.84</v>
      </c>
      <c r="OV10" s="97">
        <v>516.42999999999995</v>
      </c>
      <c r="OW10" s="90">
        <f t="shared" ref="OW10:OW14" si="221">ROUND((I10*OY10),2)</f>
        <v>536.70000000000005</v>
      </c>
      <c r="OX10" s="90">
        <f t="shared" ref="OX10:OX14" si="222">ROUND((OW10/$I10),2)</f>
        <v>5.03</v>
      </c>
      <c r="OY10" s="90">
        <f>OU10-1+0.19</f>
        <v>5.03</v>
      </c>
      <c r="OZ10" s="90"/>
      <c r="PA10" s="90"/>
      <c r="PB10" s="95">
        <f t="shared" ref="PB10:PB14" si="223">ROUND(($I10*PA10),2)</f>
        <v>0</v>
      </c>
      <c r="PC10" s="92">
        <f t="shared" ref="PC10:PC14" si="224">PB10*12</f>
        <v>0</v>
      </c>
      <c r="PD10" s="90"/>
      <c r="PE10" s="95">
        <f t="shared" ref="PE10:PE14" si="225">ROUND(($I10*PD10),2)</f>
        <v>0</v>
      </c>
      <c r="PF10" s="90">
        <f t="shared" ref="PF10:PF14" si="226">AX10+GP10+GR10+IE10+LA10+LV10+MB10+MH10+MN10+NJ10+NQ10+NX10+OD10+PB10</f>
        <v>1580.88</v>
      </c>
      <c r="PG10" s="90">
        <f t="shared" ref="PG10:PG14" si="227">ROUND((PF10/$I10),2)</f>
        <v>14.82</v>
      </c>
      <c r="PH10" s="90">
        <f t="shared" ref="PH10:PH14" si="228">BH10+HA10+IJ10+LJ10+LO10+LQ10+LW10+MC10+MI10+MO10+MX10+NE10+NM10+NT10+OA10+OW10+PE10</f>
        <v>1783.1399999999999</v>
      </c>
      <c r="PI10" s="90">
        <f t="shared" ref="PI10:PI14" si="229">ROUND((PH10/$I10),2)</f>
        <v>16.71</v>
      </c>
      <c r="PJ10" s="90">
        <f t="shared" ref="PJ10:PJ14" si="230">BK10+HA10+IL10+LL10+LO10+LQ10+LW10+MC10+MI10+MO10+MX10+NE10+NM10+NT10+OA10+OW10+PE10</f>
        <v>1783.1399999999999</v>
      </c>
      <c r="PK10" s="90">
        <f t="shared" ref="PK10:PK14" si="231">ROUND((PJ10/$I10),2)</f>
        <v>16.71</v>
      </c>
      <c r="PL10" s="90"/>
      <c r="PM10" s="90">
        <f t="shared" ref="PM10:PM14" si="232">ROUND((PF10*3%),2)</f>
        <v>47.43</v>
      </c>
      <c r="PN10" s="90">
        <f t="shared" ref="PN10:PN14" si="233">ROUND((PM10/$I10),2)</f>
        <v>0.44</v>
      </c>
      <c r="PO10" s="92">
        <f t="shared" ref="PO10:PO14" si="234">PM10*12</f>
        <v>569.16</v>
      </c>
      <c r="PP10" s="90">
        <f t="shared" ref="PP10:PP14" si="235">ROUND((PH10*3%),2)</f>
        <v>53.49</v>
      </c>
      <c r="PQ10" s="90">
        <f t="shared" ref="PQ10:PQ14" si="236">ROUND((PP10/$I10),2)</f>
        <v>0.5</v>
      </c>
      <c r="PR10" s="90">
        <f t="shared" ref="PR10:PR14" si="237">ROUND((PJ10*3%),2)</f>
        <v>53.49</v>
      </c>
      <c r="PS10" s="90">
        <f t="shared" ref="PS10:PS14" si="238">ROUND((PR10/$I10),2)</f>
        <v>0.5</v>
      </c>
      <c r="PT10" s="90">
        <f t="shared" ref="PT10:PT14" si="239">PF10+PM10</f>
        <v>1628.3100000000002</v>
      </c>
      <c r="PU10" s="90">
        <f t="shared" ref="PU10:PU14" si="240">ROUND((PT10/$I10),2)</f>
        <v>15.26</v>
      </c>
      <c r="PV10" s="90">
        <f t="shared" ref="PV10:PV14" si="241">PH10+PP10</f>
        <v>1836.6299999999999</v>
      </c>
      <c r="PW10" s="90">
        <f t="shared" ref="PW10:PW14" si="242">ROUND((PV10/$I10),2)</f>
        <v>17.21</v>
      </c>
      <c r="PX10" s="90">
        <f t="shared" ref="PX10:PX14" si="243">PJ10+PR10</f>
        <v>1836.6299999999999</v>
      </c>
      <c r="PY10" s="90">
        <f t="shared" ref="PY10:PY14" si="244">ROUND((PX10/$I10),2)</f>
        <v>17.21</v>
      </c>
      <c r="PZ10" s="90">
        <f t="shared" ref="PZ10:PZ14" si="245">ROUND((PT10*1/99),2)</f>
        <v>16.45</v>
      </c>
      <c r="QA10" s="90">
        <f t="shared" ref="QA10:QA14" si="246">ROUND((PZ10/$I10),2)</f>
        <v>0.15</v>
      </c>
      <c r="QB10" s="92">
        <f t="shared" ref="QB10:QB14" si="247">PZ10*12</f>
        <v>197.39999999999998</v>
      </c>
      <c r="QC10" s="90">
        <f t="shared" ref="QC10:QC14" si="248">ROUND((PV10*1/99),2)</f>
        <v>18.55</v>
      </c>
      <c r="QD10" s="90">
        <f t="shared" ref="QD10:QD14" si="249">ROUND((QC10/$I10),2)</f>
        <v>0.17</v>
      </c>
      <c r="QE10" s="90">
        <f t="shared" ref="QE10:QE14" si="250">ROUND((PX10*1/99),2)</f>
        <v>18.55</v>
      </c>
      <c r="QF10" s="90">
        <f t="shared" ref="QF10:QF14" si="251">ROUND((QE10/$I10),2)</f>
        <v>0.17</v>
      </c>
      <c r="QG10" s="90">
        <f t="shared" ref="QG10:QG14" si="252">PT10+PZ10</f>
        <v>1644.7600000000002</v>
      </c>
      <c r="QH10" s="90">
        <f t="shared" ref="QH10:QH14" si="253">ROUND((QG10/$I10),2)</f>
        <v>15.41</v>
      </c>
      <c r="QI10" s="92">
        <f t="shared" ref="QI10:QI14" si="254">QG10*12</f>
        <v>19737.120000000003</v>
      </c>
      <c r="QJ10" s="90">
        <f t="shared" ref="QJ10:QJ14" si="255">KW10+LS10+LY10+ME10+MK10+MN10+QH10</f>
        <v>79.49819881285157</v>
      </c>
      <c r="QK10" s="98">
        <f t="shared" ref="QK10:QK14" si="256">(QP10-QM10)+QO10</f>
        <v>0.21869999999999998</v>
      </c>
      <c r="QL10" s="90">
        <f t="shared" ref="QL10:QL14" si="257">I10*QK10</f>
        <v>23.335289999999997</v>
      </c>
      <c r="QM10" s="90">
        <f t="shared" ref="QM10:QM14" si="258">TQ10*1%</f>
        <v>0.14579999999999999</v>
      </c>
      <c r="QN10" s="90">
        <f t="shared" ref="QN10:QN14" si="259">I10*QM10</f>
        <v>15.556859999999999</v>
      </c>
      <c r="QO10" s="90">
        <v>0.21869999999999998</v>
      </c>
      <c r="QP10" s="90">
        <v>0.14579999999999999</v>
      </c>
      <c r="QQ10" s="97">
        <f t="shared" ref="QQ10:QQ14" si="260">QL10+QN10</f>
        <v>38.892149999999994</v>
      </c>
      <c r="QR10" s="97">
        <v>38.892149999999994</v>
      </c>
      <c r="QS10" s="97">
        <f t="shared" ref="QS10:QS14" si="261">QQ10-QR10</f>
        <v>0</v>
      </c>
      <c r="QT10" s="90"/>
      <c r="QU10" s="90">
        <f t="shared" ref="QU10:QU14" si="262">TQ10*1%</f>
        <v>0.14579999999999999</v>
      </c>
      <c r="QV10" s="90">
        <f t="shared" ref="QV10:QV14" si="263">I10*QU10</f>
        <v>15.556859999999999</v>
      </c>
      <c r="QW10" s="90">
        <f t="shared" ref="QW10:QW14" si="264">QL10+QN10</f>
        <v>38.892149999999994</v>
      </c>
      <c r="QX10" s="90">
        <f t="shared" ref="QX10:QX14" si="265">QW10/I10</f>
        <v>0.36449999999999994</v>
      </c>
      <c r="QY10" s="90"/>
      <c r="QZ10" s="90"/>
      <c r="RA10" s="90"/>
      <c r="RB10" s="90">
        <v>397.12</v>
      </c>
      <c r="RC10" s="97">
        <f t="shared" ref="RC10:RC14" si="266">QG10-PB10</f>
        <v>1644.7600000000002</v>
      </c>
      <c r="RD10" s="97">
        <f t="shared" ref="RD10:RD14" si="267">ROUND((RC10/$I10),2)</f>
        <v>15.41</v>
      </c>
      <c r="RE10" s="90">
        <f t="shared" ref="RE10:RE14" si="268">PV10+QC10</f>
        <v>1855.1799999999998</v>
      </c>
      <c r="RF10" s="90">
        <f t="shared" ref="RF10:RF14" si="269">ROUND((RE10/$I10),2)</f>
        <v>17.39</v>
      </c>
      <c r="RG10" s="90">
        <f t="shared" ref="RG10:RG14" si="270">RF10/(VX10+WC10)*100</f>
        <v>112.8487994808566</v>
      </c>
      <c r="RH10" s="90">
        <f t="shared" ref="RH10:RH14" si="271">PX10+QE10</f>
        <v>1855.1799999999998</v>
      </c>
      <c r="RI10" s="90">
        <f t="shared" ref="RI10:RI14" si="272">ROUND((RH10/$I10),2)</f>
        <v>17.39</v>
      </c>
      <c r="RJ10" s="90">
        <v>17.190000000000001</v>
      </c>
      <c r="RK10" s="90">
        <v>0</v>
      </c>
      <c r="RL10" s="90">
        <f t="shared" ref="RL10:RL14" si="273">RI10-RJ10-RK10</f>
        <v>0.19999999999999929</v>
      </c>
      <c r="RM10" s="90">
        <f t="shared" ref="RM10:RM14" si="274">(ACI10+ACN10)/(ACP10+ACS10)*100</f>
        <v>105.07859733978238</v>
      </c>
      <c r="RN10" s="90">
        <f t="shared" ref="RN10:RN14" si="275">AC10+AX10+GR10+IE10+LV10+MB10+MH10+MN10+SQ10+TI10+TK10+TM10</f>
        <v>957.75000000000011</v>
      </c>
      <c r="RO10" s="90"/>
      <c r="RP10" s="90"/>
      <c r="RQ10" s="99">
        <v>378</v>
      </c>
      <c r="RR10" s="90">
        <f t="shared" ref="RR10:RR14" si="276">AX10+GS10+IE10+LA10+LV10+MB10+MH10+MN10+NJ10+NQ10+NX10+PM10+PZ10</f>
        <v>1021.6300000000001</v>
      </c>
      <c r="RS10" s="90">
        <f t="shared" ref="RS10:RS14" si="277">RR10/I10</f>
        <v>9.5747891283973772</v>
      </c>
      <c r="RT10" s="90">
        <v>11.28</v>
      </c>
      <c r="RU10" s="90">
        <f t="shared" ref="RU10:RU14" si="278">I10*RT10</f>
        <v>1203.576</v>
      </c>
      <c r="RV10" s="90">
        <f t="shared" ref="RV10:RV14" si="279">QJ10/I10</f>
        <v>0.74506278175118623</v>
      </c>
      <c r="RW10" s="90">
        <v>10.43</v>
      </c>
      <c r="RX10" s="90">
        <f t="shared" ref="RX10:RX14" si="280">RW10*1.05</f>
        <v>10.951499999999999</v>
      </c>
      <c r="RY10" s="90">
        <f t="shared" ref="RY10:RY14" si="281">I10*RX10</f>
        <v>1168.52505</v>
      </c>
      <c r="RZ10" s="90">
        <f t="shared" ref="RZ10:RZ14" si="282">CD10+CT10+DJ10+DY10+EM10+FB10+FQ10+GH10+HJ10+IZ10+JN10+JU10+KT10</f>
        <v>308.28213705570352</v>
      </c>
      <c r="SA10" s="90">
        <f t="shared" ref="SA10:SA14" si="283">RZ10-HJ10-IZ10-JN10-JU10</f>
        <v>137.92482508777252</v>
      </c>
      <c r="SB10" s="90">
        <f t="shared" ref="SB10:SB14" si="284">SD10-HJ10-IZ10-JN10-JU10</f>
        <v>208.5597041648891</v>
      </c>
      <c r="SC10" s="90">
        <f t="shared" ref="SC10:SC14" si="285">CE10+CU10+DK10+DZ10+EN10+FC10+FR10+GI10+HJ10+IZ10+JN10+JU10+KU10</f>
        <v>378.91701613282009</v>
      </c>
      <c r="SD10" s="90">
        <f t="shared" ref="SD10:SD14" si="286">CB10+CR10+DH10+DW10+EK10+EZ10+FO10+GF10+HT10+IX10+JL10+KB10+KR10</f>
        <v>378.91701613282009</v>
      </c>
      <c r="SE10" s="90">
        <f t="shared" ref="SE10:SE14" si="287">CG10+CW10+DM10+DZ10+EP10+FE10+FV10+GI10+HJ10+IZ10+JN10+JU10+KU10</f>
        <v>384.62666553126985</v>
      </c>
      <c r="SF10" s="90">
        <f t="shared" ref="SF10:SF14" si="288">CF10+CV10+DL10+DZ10+EO10+FD10+FS10+GI10+HJ10+IZ10+JN10+JU10+KU10</f>
        <v>378.89515663541783</v>
      </c>
      <c r="SG10" s="90">
        <f t="shared" ref="SG10:SG14" si="289">SC10-SF10</f>
        <v>2.1859497402260786E-2</v>
      </c>
      <c r="SH10" s="90">
        <f t="shared" ref="SH10:SH14" si="290">CF10+CV10+DL10+DZ10+EO10+FD10+FU10+GI10+HJ10+IZ10+JN10+JU10+KU10</f>
        <v>378.91701613282009</v>
      </c>
      <c r="SI10" s="90">
        <f t="shared" ref="SI10:SI14" si="291">SD10/I10</f>
        <v>3.551237264600001</v>
      </c>
      <c r="SJ10" s="90">
        <f t="shared" ref="SJ10:SJ14" si="292">SF10/I10</f>
        <v>3.5510323958333441</v>
      </c>
      <c r="SK10" s="90"/>
      <c r="SL10" s="90"/>
      <c r="SM10" s="90"/>
      <c r="SN10" s="90">
        <f t="shared" ref="SN10:SN14" si="293">CJ10+CY10+DO10+EA10+ER10+FG10+FX10+GJ10+HL10+JA10+JO10+JV10+KV10</f>
        <v>405.67999999999995</v>
      </c>
      <c r="SO10" s="90" t="e">
        <f>RU10-#REF!-#REF!-HZ10-LT10-LZ10-MF10-ML10-QL10-QN10-SD10</f>
        <v>#REF!</v>
      </c>
      <c r="SP10" s="90">
        <f t="shared" ref="SP10:SP14" si="294">CH10+CW10+DM10+EA10+EP10+FE10+FV10+GJ10+HL10+JA10+JO10+JV10+KV10</f>
        <v>397.12</v>
      </c>
      <c r="SQ10" s="90">
        <f t="shared" ref="SQ10:SQ14" si="295">CI10+CX10+DN10+EB10+EQ10+FF10+FW10+GK10+HN10+JB10+JP10+JW10+KW10</f>
        <v>418.2600000000001</v>
      </c>
      <c r="SR10" s="90">
        <f t="shared" ref="SR10:SR14" si="296">SP10/I10</f>
        <v>3.7218369259606372</v>
      </c>
      <c r="SS10" s="90">
        <f t="shared" ref="SS10:SS14" si="297">SQ10/I10</f>
        <v>3.9199625117150898</v>
      </c>
      <c r="ST10" s="90">
        <f t="shared" ref="ST10:ST14" si="298">CJ10+CY10+DO10+EC10+ER10+FG10+FX10+GL10+HN10+JC10+JQ10+JX10+KX10</f>
        <v>419.87899999999996</v>
      </c>
      <c r="SU10" s="90">
        <v>3.7218369259606372</v>
      </c>
      <c r="SV10" s="90">
        <f t="shared" ref="SV10:SV14" si="299">ROUND((ST10/I10),2)</f>
        <v>3.94</v>
      </c>
      <c r="SW10" s="90">
        <v>3.92</v>
      </c>
      <c r="SX10" s="90">
        <f t="shared" ref="SX10:SX14" si="300">ROUND((I10*SW10),2)</f>
        <v>418.26</v>
      </c>
      <c r="SY10" s="90">
        <v>3.7218369259606372</v>
      </c>
      <c r="SZ10" s="90">
        <f t="shared" ref="SZ10:SZ14" si="301">I10*SY10</f>
        <v>397.12</v>
      </c>
      <c r="TA10" s="90">
        <f t="shared" ref="TA10:TA14" si="302">SZ10-SP10</f>
        <v>0</v>
      </c>
      <c r="TB10" s="90">
        <v>0</v>
      </c>
      <c r="TC10" s="90">
        <f t="shared" ref="TC10:TC14" si="303">RU10-AX10-GR10-IC10-LT10-LZ10-MF10-ML10-QL10-QN10-SP10</f>
        <v>248.34885000000008</v>
      </c>
      <c r="TD10" s="90" t="e">
        <f>#REF!+#REF!</f>
        <v>#REF!</v>
      </c>
      <c r="TE10" s="90" t="e">
        <f t="shared" ref="TE10:TE14" si="304">TC10+TD10</f>
        <v>#REF!</v>
      </c>
      <c r="TF10" s="90">
        <v>276.12885000000006</v>
      </c>
      <c r="TG10" s="90">
        <f t="shared" ref="TG10:TG14" si="305">TC10/RU10*100</f>
        <v>20.634247442620996</v>
      </c>
      <c r="TH10" s="95"/>
      <c r="TI10" s="95"/>
      <c r="TJ10" s="95"/>
      <c r="TK10" s="95"/>
      <c r="TL10" s="95"/>
      <c r="TM10" s="95">
        <f t="shared" ref="TM10:TM14" si="306">I10*TL10</f>
        <v>0</v>
      </c>
      <c r="TN10" s="95">
        <f t="shared" ref="TN10:TN14" si="307">RU10+TI10+TK10+TM10</f>
        <v>1203.576</v>
      </c>
      <c r="TO10" s="95">
        <f t="shared" ref="TO10:TO14" si="308">TC10/TN10*100</f>
        <v>20.634247442620996</v>
      </c>
      <c r="TP10" s="95"/>
      <c r="TQ10" s="95">
        <f t="shared" ref="TQ10:TQ14" si="309">RT10+TH10+TJ10+TL10+UB10</f>
        <v>14.579999999999998</v>
      </c>
      <c r="TR10" s="95"/>
      <c r="TS10" s="95"/>
      <c r="TT10" s="95"/>
      <c r="TU10" s="95"/>
      <c r="TV10" s="95"/>
      <c r="TW10" s="95"/>
      <c r="TX10" s="95"/>
      <c r="TY10" s="95"/>
      <c r="TZ10" s="95">
        <f t="shared" ref="TZ10:TZ14" si="310">QX10/TQ10*100</f>
        <v>2.5</v>
      </c>
      <c r="UA10" s="95">
        <f t="shared" ref="UA10:UA14" si="311">TQ10*4.4%</f>
        <v>0.64151999999999998</v>
      </c>
      <c r="UB10" s="90">
        <v>3.3</v>
      </c>
      <c r="UC10" s="90">
        <f t="shared" ref="UC10:UC14" si="312">I10*UB10</f>
        <v>352.11</v>
      </c>
      <c r="UD10" s="90">
        <f t="shared" ref="UD10:UD14" si="313">UC10*1/99</f>
        <v>3.5566666666666666</v>
      </c>
      <c r="UE10" s="90">
        <f t="shared" ref="UE10:UE14" si="314">UC10-UD10</f>
        <v>348.55333333333334</v>
      </c>
      <c r="UF10" s="90">
        <f t="shared" ref="UF10:UF14" si="315">RU10+UC10</f>
        <v>1555.6860000000001</v>
      </c>
      <c r="UG10" s="91">
        <f t="shared" ref="UG10:UG14" si="316">UC10/UF10*100</f>
        <v>22.633744855967077</v>
      </c>
      <c r="UH10" s="95">
        <f t="shared" ref="UH10:UH14" si="317">TC10/UF10*100</f>
        <v>15.963944523509246</v>
      </c>
      <c r="UI10" s="95">
        <f t="shared" ref="UI10:UI14" si="318">RU10+TI10+TK10+TM10+UC10</f>
        <v>1555.6860000000001</v>
      </c>
      <c r="UJ10" s="101">
        <f t="shared" ref="UJ10:UJ14" si="319">UC10/UI10*100</f>
        <v>22.633744855967077</v>
      </c>
      <c r="UK10" s="101">
        <f t="shared" ref="UK10:UK14" si="320">TC10/UI10*100</f>
        <v>15.963944523509246</v>
      </c>
      <c r="UL10" s="90" t="e">
        <f>(#REF!+#REF!+HZ10+LT10+LZ10+MF10+ML10+QL10+QN10+SN10+TC10+TM10+UC10)/I10</f>
        <v>#REF!</v>
      </c>
      <c r="UN10" s="90" t="e">
        <f>#REF!/I10</f>
        <v>#REF!</v>
      </c>
      <c r="UO10" s="90" t="e">
        <f>#REF!/I10</f>
        <v>#REF!</v>
      </c>
      <c r="UP10" s="90">
        <v>1.1499999999999999</v>
      </c>
      <c r="UQ10" s="90" t="e">
        <f t="shared" ref="UQ10:UQ14" si="321">UO10*UP10</f>
        <v>#REF!</v>
      </c>
      <c r="UR10" s="90">
        <f t="shared" ref="UR10:UR14" si="322">AX10+GS10+IE10+LA10+LV10+MB10+MH10+MN10+MU10+NB10+NJ10+NQ10+NX10+PM10+PZ10</f>
        <v>1021.6300000000001</v>
      </c>
      <c r="US10" s="90">
        <f t="shared" ref="US10:US14" si="323">BH10+GW10+IJ10+LJ10+LW10+MC10+MI10+MO10+MX10+NE10+NM10+NT10+OA10+PP10+QC10</f>
        <v>1269.3999999999999</v>
      </c>
      <c r="UT10" s="90">
        <f t="shared" ref="UT10:UT14" si="324">BH10+GW10+IJ10+LJ10+LW10+MC10+MI10+MO10+MX10+NE10+NM10+NT10+OA10+PP10+QC10</f>
        <v>1269.3999999999999</v>
      </c>
      <c r="UU10" s="90">
        <f t="shared" ref="UU10:UU14" si="325">BH10+GW10+IJ10+LL10+LO10+LQ10+LW10+MC10+MI10+MO10+MX10+NE10+NM10+NT10+OA10+PR10+QE10</f>
        <v>1318.4799999999998</v>
      </c>
      <c r="UV10" s="90">
        <f t="shared" ref="UV10:UV14" si="326">BK10+HA10+IL10+LL10+LW10+MC10+MI10+MO10+MZ10+NG10+NO10+NV10+OA10+PR10+QE10</f>
        <v>1269.3999999999999</v>
      </c>
      <c r="UW10" s="90">
        <f t="shared" ref="UW10:UW14" si="327">UX10+VA10+VB10+VC10+VF10+VG10+VH10+VI10</f>
        <v>5.34</v>
      </c>
      <c r="UX10" s="90">
        <f t="shared" ref="UX10:UX14" si="328">ROUND(LA10/I10,2)</f>
        <v>3.92</v>
      </c>
      <c r="UY10" s="90">
        <f t="shared" ref="UY10:UY14" si="329">SN10/I10</f>
        <v>3.8020618556701025</v>
      </c>
      <c r="UZ10" s="100">
        <f t="shared" ref="UZ10:UZ14" si="330">SD10/I10</f>
        <v>3.551237264600001</v>
      </c>
      <c r="VA10" s="90">
        <f t="shared" ref="VA10:VA14" si="331">ROUND(((GP10+GR10)/I10),2)</f>
        <v>0</v>
      </c>
      <c r="VB10" s="90">
        <f t="shared" ref="VB10:VB14" si="332">ROUND((AX10/I10),2)</f>
        <v>1.42</v>
      </c>
      <c r="VC10" s="90">
        <f t="shared" ref="VC10:VC14" si="333">ROUND((NX10/I10),2)</f>
        <v>0</v>
      </c>
      <c r="VD10" s="90">
        <f t="shared" ref="VD10:VD14" si="334">ROUND((MU10/I10),2)</f>
        <v>0</v>
      </c>
      <c r="VE10" s="90">
        <f t="shared" ref="VE10:VE14" si="335">ROUND((NB10/I10),2)</f>
        <v>0</v>
      </c>
      <c r="VF10" s="90">
        <f t="shared" ref="VF10:VF14" si="336">ROUND((NJ10/I10),2)</f>
        <v>0</v>
      </c>
      <c r="VG10" s="90">
        <f t="shared" ref="VG10:VG14" si="337">ROUND((NQ10/I10),2)</f>
        <v>0</v>
      </c>
      <c r="VH10" s="90">
        <f t="shared" ref="VH10:VH14" si="338">ROUND(((LV10+MB10+MH10)/I10),2)</f>
        <v>0</v>
      </c>
      <c r="VI10" s="90">
        <f t="shared" ref="VI10:VI14" si="339">ROUND((MN10/I10),2)</f>
        <v>0</v>
      </c>
      <c r="VJ10" s="90">
        <f t="shared" ref="VJ10:VJ14" si="340">VH10+VI10</f>
        <v>0</v>
      </c>
      <c r="VK10" s="90">
        <f t="shared" ref="VK10:VK14" si="341">ROUND((AC10/I10),2)</f>
        <v>0</v>
      </c>
      <c r="VL10" s="90">
        <f t="shared" ref="VL10:VL14" si="342">ROUND((IE10/I10),2)</f>
        <v>3.64</v>
      </c>
      <c r="VM10" s="90">
        <f t="shared" ref="VM10:VM14" si="343">ROUND((OD10/I10),2)</f>
        <v>5.84</v>
      </c>
      <c r="VN10" s="90">
        <f t="shared" ref="VN10:VN14" si="344">ROUND((PB10/I10),2)</f>
        <v>0</v>
      </c>
      <c r="VO10" s="90">
        <f t="shared" ref="VO10:VO14" si="345">VM10+VN10</f>
        <v>5.84</v>
      </c>
      <c r="VP10" s="97">
        <v>3.3</v>
      </c>
      <c r="VQ10" s="97">
        <v>5.84</v>
      </c>
      <c r="VR10" s="90">
        <f t="shared" ref="VR10:VR14" si="346">ROUND((PM10/I10),2)</f>
        <v>0.44</v>
      </c>
      <c r="VS10" s="90">
        <f t="shared" ref="VS10:VS14" si="347">ROUND((PZ10/I10),2)</f>
        <v>0.15</v>
      </c>
      <c r="VT10" s="90">
        <v>0.11989898989898991</v>
      </c>
      <c r="VU10" s="90">
        <f t="shared" ref="VU10:VU14" si="348">VY10*1%</f>
        <v>0.15410000000000001</v>
      </c>
      <c r="VV10" s="90">
        <v>0.38175323599898991</v>
      </c>
      <c r="VW10" s="90">
        <f t="shared" ref="VW10:VW14" si="349">VR10+VS10</f>
        <v>0.59</v>
      </c>
      <c r="VX10" s="90">
        <f t="shared" ref="VX10:VX14" si="350">UX10+VA10+VB10+VC10+VF10+VG10+VJ10+VL10+VM10+VW10</f>
        <v>15.41</v>
      </c>
      <c r="VY10" s="90">
        <f t="shared" ref="VY10:VY14" si="351">UX10+VA10+VB10+VC10+VF10+VG10+VJ10+VL10+VM10+VN10+VW10</f>
        <v>15.41</v>
      </c>
      <c r="VZ10" s="90">
        <f t="shared" ref="VZ10:VZ14" si="352">VY10-VX10</f>
        <v>0</v>
      </c>
      <c r="WA10" s="90"/>
      <c r="WB10" s="90">
        <f t="shared" ref="WB10:WB14" si="353">VX10-WA10</f>
        <v>15.41</v>
      </c>
      <c r="WC10" s="90">
        <f t="shared" ref="WC10:WC14" si="354">VN10</f>
        <v>0</v>
      </c>
      <c r="WD10" s="90"/>
      <c r="WE10" s="90">
        <v>15.41</v>
      </c>
      <c r="WF10" s="90"/>
      <c r="WG10" s="90">
        <f t="shared" ref="WG10:WG14" si="355">I10*VX10+I10*WC10</f>
        <v>1644.2470000000001</v>
      </c>
      <c r="WH10" s="90">
        <f t="shared" ref="WH10:WH14" si="356">I10*(UX10+VA10+VB10+VJ10+VL10+VM10+VW10)</f>
        <v>1644.2470000000001</v>
      </c>
      <c r="WI10" s="90">
        <f t="shared" ref="WI10:WI14" si="357">QG10-MU10-NB10-NJ10-NQ10-NX10-PB10</f>
        <v>1644.7600000000002</v>
      </c>
      <c r="WJ10" s="90">
        <f t="shared" ref="WJ10:WJ14" si="358">AX10+GS10+IE10+LA10+LV10+MB10+MH10+MN10+MU10+NB10+NJ10+NQ10+NX10+PM10+PZ10</f>
        <v>1021.6300000000001</v>
      </c>
      <c r="WK10" s="97">
        <v>623.13</v>
      </c>
      <c r="WL10" s="97">
        <v>5.84</v>
      </c>
      <c r="WM10" s="90">
        <f t="shared" ref="WM10:WM14" si="359">ROUND((I10*WL10),2)</f>
        <v>623.13</v>
      </c>
      <c r="WN10" s="90">
        <f t="shared" ref="WN10:WN14" si="360">ROUND((WM10/$I10),2)</f>
        <v>5.84</v>
      </c>
      <c r="WO10" s="90"/>
      <c r="WP10" s="97">
        <v>15.41</v>
      </c>
      <c r="WQ10" s="90">
        <f t="shared" ref="WQ10:WQ14" si="361">VY10-VN10</f>
        <v>15.41</v>
      </c>
      <c r="WR10" s="91">
        <f t="shared" ref="WR10:WR14" si="362">VY10/XM10*100</f>
        <v>105.69272976680386</v>
      </c>
      <c r="WS10" s="91">
        <f t="shared" ref="WS10:WS14" si="363">WQ10/XP10*100</f>
        <v>136.61347517730496</v>
      </c>
      <c r="WT10" s="90">
        <f t="shared" ref="WT10:WT14" si="364">ROUND((I10*WP10),2)</f>
        <v>1644.25</v>
      </c>
      <c r="WU10" s="90">
        <f t="shared" ref="WU10:WU14" si="365">QG10</f>
        <v>1644.7600000000002</v>
      </c>
      <c r="WV10" s="90">
        <f t="shared" ref="WV10:WV14" si="366">WT10-QG10</f>
        <v>-0.51000000000021828</v>
      </c>
      <c r="WW10" s="90"/>
      <c r="WX10" s="90"/>
      <c r="WY10" s="90"/>
      <c r="WZ10" s="90">
        <f t="shared" ref="WZ10:WZ14" si="367">XF10-UX10-VA10-VB10-VC10-VF10-VG10-VH10-VI10-VL10-XC10-XD10</f>
        <v>5.8120434343434342</v>
      </c>
      <c r="XA10" s="90">
        <v>3.3</v>
      </c>
      <c r="XB10" s="90">
        <f t="shared" ref="XB10:XB14" si="368">WZ10+XA10</f>
        <v>9.112043434343434</v>
      </c>
      <c r="XC10" s="90">
        <f t="shared" ref="XC10:XC14" si="369">XF10*3%</f>
        <v>0.46229999999999999</v>
      </c>
      <c r="XD10" s="90">
        <f t="shared" ref="XD10:XD14" si="370">XF10*1/99</f>
        <v>0.15565656565656566</v>
      </c>
      <c r="XE10" s="90"/>
      <c r="XF10" s="90">
        <f t="shared" ref="XF10:XF14" si="371">ROUND(((XH10+XI10)*1.057+XJ10+XK10+XL10),2)</f>
        <v>15.41</v>
      </c>
      <c r="XG10" s="90">
        <v>5.8878992502343017</v>
      </c>
      <c r="XH10" s="20">
        <v>11.28</v>
      </c>
      <c r="XI10" s="20">
        <v>3.3</v>
      </c>
      <c r="XJ10" s="20"/>
      <c r="XK10" s="20"/>
      <c r="XL10" s="20"/>
      <c r="XM10" s="20">
        <f t="shared" ref="XM10:XM14" si="372">XH10+XI10+XJ10+XK10+XL10</f>
        <v>14.579999999999998</v>
      </c>
      <c r="XN10" s="91">
        <f t="shared" ref="XN10:XN14" si="373">VY10/XM10*100</f>
        <v>105.69272976680386</v>
      </c>
      <c r="XO10" s="20">
        <f t="shared" ref="XO10:XO14" si="374">XH10+XJ10+XK10+XL10</f>
        <v>11.28</v>
      </c>
      <c r="XP10" s="90">
        <f t="shared" ref="XP10:XP14" si="375">XO10-WW10</f>
        <v>11.28</v>
      </c>
      <c r="XQ10" s="91">
        <f t="shared" ref="XQ10:XQ14" si="376">VY10/XO10*100</f>
        <v>136.61347517730496</v>
      </c>
      <c r="XR10" s="102"/>
      <c r="XS10" s="90">
        <f t="shared" ref="XS10:XS14" si="377">VL10</f>
        <v>3.64</v>
      </c>
      <c r="XT10" s="90">
        <f t="shared" ref="XT10:XT14" si="378">XU10+XV10+XY10</f>
        <v>5.34</v>
      </c>
      <c r="XU10" s="90">
        <f t="shared" ref="XU10:XU14" si="379">UX10</f>
        <v>3.92</v>
      </c>
      <c r="XV10" s="90">
        <f t="shared" ref="XV10:XV14" si="380">XW10+XX10</f>
        <v>0</v>
      </c>
      <c r="XW10" s="90">
        <f t="shared" ref="XW10:XW14" si="381">VA10</f>
        <v>0</v>
      </c>
      <c r="XX10" s="90">
        <f t="shared" ref="XX10:XX14" si="382">VC10</f>
        <v>0</v>
      </c>
      <c r="XY10" s="90">
        <f t="shared" ref="XY10:XY14" si="383">XZ10+YA10+YB10+YC10+YD10</f>
        <v>1.42</v>
      </c>
      <c r="XZ10" s="90">
        <f t="shared" ref="XZ10:XZ14" si="384">VG10</f>
        <v>0</v>
      </c>
      <c r="YA10" s="90">
        <f t="shared" ref="YA10:YA14" si="385">VF10</f>
        <v>0</v>
      </c>
      <c r="YB10" s="90">
        <f t="shared" ref="YB10:YC14" si="386">VD10</f>
        <v>0</v>
      </c>
      <c r="YC10" s="90">
        <f t="shared" si="386"/>
        <v>0</v>
      </c>
      <c r="YD10" s="90">
        <f t="shared" ref="YD10:YD14" si="387">VB10</f>
        <v>1.42</v>
      </c>
      <c r="YE10" s="90">
        <f t="shared" ref="YE10:YE14" si="388">VM10</f>
        <v>5.84</v>
      </c>
      <c r="YF10" s="90">
        <f t="shared" ref="YF10:YF14" si="389">VW10</f>
        <v>0.59</v>
      </c>
      <c r="YG10" s="90">
        <f t="shared" ref="YG10:YG14" si="390">XS10+XT10+YE10+YF10</f>
        <v>15.41</v>
      </c>
      <c r="YI10" s="103" t="s">
        <v>576</v>
      </c>
      <c r="YK10" s="90">
        <f t="shared" ref="YK10:YK14" si="391">HM10</f>
        <v>1.07</v>
      </c>
      <c r="YL10" s="90">
        <f t="shared" ref="YL10:YM14" si="392">VA10</f>
        <v>0</v>
      </c>
      <c r="YM10" s="90">
        <f t="shared" si="392"/>
        <v>1.42</v>
      </c>
      <c r="YN10" s="90">
        <f t="shared" ref="YN10:YN14" si="393">VL10</f>
        <v>3.64</v>
      </c>
      <c r="YO10" s="90">
        <f t="shared" ref="YO10:YO14" si="394">UX10-YK10+VC10+VG10+VJ10+VM10+VW10</f>
        <v>9.2799999999999994</v>
      </c>
      <c r="YP10" s="90">
        <f t="shared" ref="YP10:YP14" si="395">VF10</f>
        <v>0</v>
      </c>
      <c r="YQ10" s="90">
        <f t="shared" ref="YQ10:YQ14" si="396">VX10</f>
        <v>15.41</v>
      </c>
      <c r="YR10" s="90">
        <f t="shared" ref="YR10:YR14" si="397">WC10</f>
        <v>0</v>
      </c>
      <c r="YS10" s="104">
        <f t="shared" ref="YS10:YS14" si="398">YK10+YL10+YM10+YN10+YO10+YP10</f>
        <v>15.41</v>
      </c>
      <c r="YT10" s="104">
        <f t="shared" ref="YT10:YT14" si="399">YQ10-YS10</f>
        <v>0</v>
      </c>
      <c r="YY10" s="90">
        <f t="shared" ref="YY10:YY14" si="400">YZ10+ZA10+ZB10+ZC10+ZD10+ZE10+ZF10+ZG10+ZH10+ZI10</f>
        <v>7.1099999999999994</v>
      </c>
      <c r="YZ10" s="90">
        <f t="shared" ref="YZ10:YZ14" si="401">ROUND(LJ10/I10,2)</f>
        <v>4.18</v>
      </c>
      <c r="ZA10" s="90">
        <f t="shared" ref="ZA10:ZA14" si="402">ROUND(((GU10+GV10)/12/I10),2)</f>
        <v>0</v>
      </c>
      <c r="ZB10" s="90">
        <f t="shared" ref="ZB10:ZB14" si="403">ROUND((BH10/I10),2)</f>
        <v>2.93</v>
      </c>
      <c r="ZC10" s="90">
        <f t="shared" ref="ZC10:ZC14" si="404">ROUND((OA10/I10),2)</f>
        <v>0</v>
      </c>
      <c r="ZD10" s="90">
        <f t="shared" ref="ZD10:ZD14" si="405">ROUND((MX10/I10),2)</f>
        <v>0</v>
      </c>
      <c r="ZE10" s="90">
        <f t="shared" ref="ZE10:ZE14" si="406">ROUND((NE10/I10),2)</f>
        <v>0</v>
      </c>
      <c r="ZF10" s="90">
        <f t="shared" ref="ZF10:ZF14" si="407">ROUND((NM10/I10),2)</f>
        <v>0</v>
      </c>
      <c r="ZG10" s="90">
        <f t="shared" ref="ZG10:ZG14" si="408">ROUND((NT10/I10),2)</f>
        <v>0</v>
      </c>
      <c r="ZH10" s="90">
        <f t="shared" ref="ZH10:ZH14" si="409">ROUND(((LW10+MC10+MI10)/I10),2)</f>
        <v>0</v>
      </c>
      <c r="ZI10" s="90">
        <f t="shared" ref="ZI10:ZI14" si="410">ROUND((MO10/I10),2)</f>
        <v>0</v>
      </c>
      <c r="ZJ10" s="90">
        <f t="shared" ref="ZJ10:ZJ14" si="411">ZH10+ZI10</f>
        <v>0</v>
      </c>
      <c r="ZK10" s="90">
        <f t="shared" ref="ZK10:ZK14" si="412">ZF10+ZG10+ZH10+ZI10</f>
        <v>0</v>
      </c>
      <c r="ZL10" s="90">
        <f t="shared" ref="ZL10:ZL14" si="413">ROUND((EY10/EE10),2)</f>
        <v>0.11</v>
      </c>
      <c r="ZM10" s="90">
        <f t="shared" ref="ZM10:ZM14" si="414">ROUND((IJ10/I10),2)</f>
        <v>4.1100000000000003</v>
      </c>
      <c r="ZN10" s="90">
        <f t="shared" ref="ZN10:ZN14" si="415">ZB10+ZP10</f>
        <v>7.9600000000000009</v>
      </c>
      <c r="ZO10" s="90">
        <f t="shared" ref="ZO10:ZO14" si="416">ROUND((OK10/I10),2)</f>
        <v>7.26</v>
      </c>
      <c r="ZP10" s="90">
        <f t="shared" ref="ZP10:ZP14" si="417">ROUND((OW10/I10),2)</f>
        <v>5.03</v>
      </c>
      <c r="ZQ10" s="90">
        <f t="shared" ref="ZQ10:ZQ14" si="418">ROUND((TI10/EE10),2)</f>
        <v>0</v>
      </c>
      <c r="ZR10" s="90">
        <f t="shared" ref="ZR10:ZR14" si="419">ZP10+ZQ10</f>
        <v>5.03</v>
      </c>
      <c r="ZS10" s="97">
        <v>227</v>
      </c>
      <c r="ZT10" s="97">
        <v>230.38</v>
      </c>
      <c r="ZU10" s="90">
        <f t="shared" ref="ZU10:ZU14" si="420">ROUND((PP10/I10),2)</f>
        <v>0.5</v>
      </c>
      <c r="ZV10" s="90">
        <f t="shared" ref="ZV10:ZV14" si="421">ROUND((QC10/I10),2)</f>
        <v>0.17</v>
      </c>
      <c r="ZW10" s="90">
        <v>0.11989898989898991</v>
      </c>
      <c r="ZX10" s="90">
        <f t="shared" ref="ZX10:ZX14" si="422">AAB10*1%</f>
        <v>0.16920000000000002</v>
      </c>
      <c r="ZY10" s="90">
        <v>0.38175323599898991</v>
      </c>
      <c r="ZZ10" s="90">
        <f t="shared" ref="ZZ10:ZZ14" si="423">ZU10+ZV10</f>
        <v>0.67</v>
      </c>
      <c r="AAA10" s="90">
        <f t="shared" ref="AAA10:AAA14" si="424">YY10+ZM10+ZP10+ZZ10</f>
        <v>16.920000000000002</v>
      </c>
      <c r="AAB10" s="90">
        <f t="shared" ref="AAB10:AAB14" si="425">YZ10+ZA10+ZB10+ZC10+ZF10+ZG10+ZJ10+ZM10+ZP10+ZQ10+ZZ10</f>
        <v>16.920000000000002</v>
      </c>
      <c r="AAC10" s="90">
        <f t="shared" ref="AAC10:AAC14" si="426">AAB10-AAA10</f>
        <v>0</v>
      </c>
      <c r="AAD10" s="90"/>
      <c r="AAE10" s="90">
        <f t="shared" ref="AAE10:AAE14" si="427">AAA10-AAD10</f>
        <v>16.920000000000002</v>
      </c>
      <c r="AAF10" s="90">
        <v>15.41</v>
      </c>
      <c r="AAG10" s="90">
        <f t="shared" ref="AAG10:AAG14" si="428">AAA10/VX10*100</f>
        <v>109.79883192731994</v>
      </c>
      <c r="AAH10" s="90">
        <f t="shared" ref="AAH10:AAH14" si="429">PD10</f>
        <v>0</v>
      </c>
      <c r="AAI10" s="90">
        <v>0</v>
      </c>
      <c r="AAJ10" s="90"/>
      <c r="AAK10" s="1">
        <v>16.53</v>
      </c>
      <c r="AAL10" s="104">
        <f t="shared" ref="AAL10:AAL14" si="430">(AAA10+AAH10)-AAK10</f>
        <v>0.39000000000000057</v>
      </c>
      <c r="AAM10" s="103" t="s">
        <v>577</v>
      </c>
      <c r="AAN10" s="105">
        <v>7.1400000000000006</v>
      </c>
      <c r="AAO10" s="90">
        <f t="shared" ref="AAO10:AAO14" si="431">AAQ10+AAS10+AAV10+AAX10+AAY10+AAZ10+ABA10+ABB10+ABD10+ABG10+ABI10+ABJ10</f>
        <v>7.5699999999999994</v>
      </c>
      <c r="AAP10" s="90">
        <v>4.21</v>
      </c>
      <c r="AAQ10" s="90">
        <f t="shared" ref="AAQ10:AAQ14" si="432">ROUND(LL10/I10,2)</f>
        <v>4.18</v>
      </c>
      <c r="AAR10" s="90">
        <v>0</v>
      </c>
      <c r="AAS10" s="90">
        <f t="shared" ref="AAS10:AAS14" si="433">ROUND(((GY10+GZ10)/12/I10),2)</f>
        <v>0</v>
      </c>
      <c r="AAT10" s="90"/>
      <c r="AAU10" s="90">
        <v>2.93</v>
      </c>
      <c r="AAV10" s="90">
        <f t="shared" ref="AAV10:AAV14" si="434">ROUND((BK10/I10),2)</f>
        <v>2.93</v>
      </c>
      <c r="AAW10" s="90">
        <f t="shared" ref="AAW10" si="435">AAV10/AAU10*100</f>
        <v>100</v>
      </c>
      <c r="AAX10" s="90">
        <f t="shared" ref="AAX10:AAX14" si="436">ROUND((LO10/I10),2)</f>
        <v>0.46</v>
      </c>
      <c r="AAY10" s="90">
        <f t="shared" ref="AAY10:AAY14" si="437">ROUND((OA10/I10),2)</f>
        <v>0</v>
      </c>
      <c r="AAZ10" s="90">
        <f t="shared" ref="AAZ10:AAZ14" si="438">ROUND((LQ10/I10),2)</f>
        <v>0</v>
      </c>
      <c r="ABA10" s="90">
        <f t="shared" ref="ABA10:ABA14" si="439">ROUND((MX10/I10),2)</f>
        <v>0</v>
      </c>
      <c r="ABB10" s="90">
        <f t="shared" ref="ABB10:ABB14" si="440">ROUND((NE10/I10),2)</f>
        <v>0</v>
      </c>
      <c r="ABC10" s="90">
        <v>0</v>
      </c>
      <c r="ABD10" s="90">
        <f t="shared" ref="ABD10:ABD14" si="441">ROUND((NM10/I10),2)</f>
        <v>0</v>
      </c>
      <c r="ABE10" s="90"/>
      <c r="ABF10" s="90">
        <v>0</v>
      </c>
      <c r="ABG10" s="90">
        <f t="shared" ref="ABG10:ABG14" si="442">ROUND((NT10/I10),2)</f>
        <v>0</v>
      </c>
      <c r="ABH10" s="90"/>
      <c r="ABI10" s="90">
        <f t="shared" ref="ABI10:ABI14" si="443">ROUND(((LW10+MC10+MI10)/I10),2)</f>
        <v>0</v>
      </c>
      <c r="ABJ10" s="90">
        <f t="shared" ref="ABJ10:ABJ14" si="444">ROUND((MO10/I10),2)</f>
        <v>0</v>
      </c>
      <c r="ABK10" s="90">
        <v>0</v>
      </c>
      <c r="ABL10" s="90">
        <f t="shared" ref="ABL10:ABL14" si="445">ABI10+ABJ10</f>
        <v>0</v>
      </c>
      <c r="ABM10" s="90">
        <f t="shared" ref="ABM10:ABM14" si="446">ABD10+ABG10+ABI10+ABJ10</f>
        <v>0</v>
      </c>
      <c r="ABN10" s="90">
        <f t="shared" ref="ABN10:ABN14" si="447">ROUND((GF10/FL10),2)</f>
        <v>0.02</v>
      </c>
      <c r="ABO10" s="90">
        <v>3.91</v>
      </c>
      <c r="ABP10" s="90">
        <f t="shared" ref="ABP10:ABP14" si="448">ROUND((IL10/I10),2)</f>
        <v>4.1100000000000003</v>
      </c>
      <c r="ABQ10" s="90">
        <f t="shared" ref="ABQ10:ABQ14" si="449">ABP10/ABO10*100</f>
        <v>105.1150895140665</v>
      </c>
      <c r="ABR10" s="90">
        <f t="shared" ref="ABR10:ABR14" si="450">AAV10+ABU10</f>
        <v>7.9600000000000009</v>
      </c>
      <c r="ABS10" s="90">
        <f t="shared" ref="ABS10:ABS14" si="451">ROUND((OK10/I10),2)</f>
        <v>7.26</v>
      </c>
      <c r="ABT10" s="90">
        <v>4.84</v>
      </c>
      <c r="ABU10" s="90">
        <f t="shared" ref="ABU10:ABU14" si="452">ROUND((OW10/I10),2)</f>
        <v>5.03</v>
      </c>
      <c r="ABV10" s="90">
        <f t="shared" ref="ABV10:ABV14" si="453">ABU10/ABT10*100</f>
        <v>103.92561983471076</v>
      </c>
      <c r="ABW10" s="90">
        <f t="shared" ref="ABW10:ABW14" si="454">ROUND((UP10/FL10),2)</f>
        <v>0.03</v>
      </c>
      <c r="ABX10" s="90">
        <f t="shared" ref="ABX10:ABX14" si="455">ABU10+ABW10</f>
        <v>5.0600000000000005</v>
      </c>
      <c r="ABY10" s="97">
        <v>227</v>
      </c>
      <c r="ABZ10" s="97">
        <v>230.38</v>
      </c>
      <c r="ACA10" s="90">
        <f t="shared" ref="ACA10:ACA14" si="456">ROUND((PR10/I10),2)</f>
        <v>0.5</v>
      </c>
      <c r="ACB10" s="90">
        <f t="shared" ref="ACB10:ACB14" si="457">ROUND((QE10/I10),2)</f>
        <v>0.17</v>
      </c>
      <c r="ACC10" s="90">
        <v>0.11989898989898991</v>
      </c>
      <c r="ACD10" s="90">
        <f t="shared" ref="ACD10:ACD14" si="458">ACJ10*1%</f>
        <v>0.16950000000000004</v>
      </c>
      <c r="ACE10" s="90">
        <v>0.38175323599898991</v>
      </c>
      <c r="ACF10" s="90">
        <v>0.65</v>
      </c>
      <c r="ACG10" s="90">
        <f t="shared" ref="ACG10:ACG14" si="459">ACA10+ACB10</f>
        <v>0.67</v>
      </c>
      <c r="ACH10" s="90">
        <f t="shared" ref="ACH10:ACH14" si="460">ACG10/ACF10*100</f>
        <v>103.07692307692309</v>
      </c>
      <c r="ACI10" s="90">
        <f t="shared" ref="ACI10:ACI14" si="461">AAQ10+AAS10+AAV10+AAX10+AAY10+AAZ10+ABA10+ABB10+ABD10+ABG10+ABL10+ABP10+ABU10+ACG10</f>
        <v>17.380000000000003</v>
      </c>
      <c r="ACJ10" s="90">
        <f t="shared" ref="ACJ10:ACJ14" si="462">AAQ10+AAS10+AAV10+AAY10+ABD10+ABG10+ABL10+ABP10+ABU10+ABW10+ACG10</f>
        <v>16.950000000000003</v>
      </c>
      <c r="ACK10" s="90">
        <f t="shared" ref="ACK10:ACK14" si="463">ACJ10-ACI10</f>
        <v>-0.42999999999999972</v>
      </c>
      <c r="ACL10" s="90"/>
      <c r="ACM10" s="90">
        <f t="shared" ref="ACM10:ACM14" si="464">ACI10-ACL10</f>
        <v>17.380000000000003</v>
      </c>
      <c r="ACN10" s="90">
        <f t="shared" ref="ACN10:ACN14" si="465">PD10</f>
        <v>0</v>
      </c>
      <c r="ACO10" s="90">
        <f t="shared" ref="ACO10:ACO14" si="466">ACI10</f>
        <v>17.380000000000003</v>
      </c>
      <c r="ACP10" s="90">
        <v>16.54</v>
      </c>
      <c r="ACQ10" s="90">
        <f t="shared" ref="ACQ10:ACQ14" si="467">ACO10/ACP10*100</f>
        <v>105.07859733978238</v>
      </c>
      <c r="ACR10" s="90">
        <f t="shared" ref="ACR10:ACR14" si="468">ACN10</f>
        <v>0</v>
      </c>
      <c r="ACS10" s="90">
        <v>0</v>
      </c>
      <c r="ACT10" s="90"/>
      <c r="ACU10" s="90">
        <f t="shared" ref="ACU10:ACU14" si="469">(ACP10)*1.051</f>
        <v>17.383539999999996</v>
      </c>
      <c r="ACV10" s="90">
        <f t="shared" ref="ACV10:ACV14" si="470">ACU10-ACO10</f>
        <v>3.5399999999938814E-3</v>
      </c>
      <c r="ACX10" s="106" t="s">
        <v>576</v>
      </c>
      <c r="ACY10" s="107">
        <v>35000</v>
      </c>
      <c r="ACZ10" s="107"/>
      <c r="ADB10" s="90">
        <f t="shared" ref="ADB10:ADB14" si="471">ABP10</f>
        <v>4.1100000000000003</v>
      </c>
      <c r="ADC10" s="90">
        <f t="shared" ref="ADC10:ADC14" si="472">ADD10+ADE10+ADJ10</f>
        <v>7.57</v>
      </c>
      <c r="ADD10" s="90">
        <f t="shared" ref="ADD10:ADD14" si="473">AAQ10</f>
        <v>4.18</v>
      </c>
      <c r="ADE10" s="90">
        <f t="shared" ref="ADE10:ADE14" si="474">ADF10+ADG10+ADH10+ADI10</f>
        <v>0.46</v>
      </c>
      <c r="ADF10" s="90">
        <f t="shared" ref="ADF10:ADF14" si="475">AAS10</f>
        <v>0</v>
      </c>
      <c r="ADG10" s="90">
        <f t="shared" ref="ADG10:ADI14" si="476">AAX10</f>
        <v>0.46</v>
      </c>
      <c r="ADH10" s="90">
        <f t="shared" si="476"/>
        <v>0</v>
      </c>
      <c r="ADI10" s="90">
        <f t="shared" si="476"/>
        <v>0</v>
      </c>
      <c r="ADJ10" s="90">
        <f t="shared" ref="ADJ10:ADJ14" si="477">ADK10+ADL10+ADM10+ADN10+ADO10</f>
        <v>2.93</v>
      </c>
      <c r="ADK10" s="90">
        <f t="shared" ref="ADK10:ADK14" si="478">ABG10</f>
        <v>0</v>
      </c>
      <c r="ADL10" s="90">
        <f t="shared" ref="ADL10:ADL14" si="479">ABD10</f>
        <v>0</v>
      </c>
      <c r="ADM10" s="90">
        <f t="shared" ref="ADM10:ADN14" si="480">ABA10</f>
        <v>0</v>
      </c>
      <c r="ADN10" s="90">
        <f t="shared" si="480"/>
        <v>0</v>
      </c>
      <c r="ADO10" s="90">
        <f t="shared" ref="ADO10:ADO14" si="481">AAV10</f>
        <v>2.93</v>
      </c>
      <c r="ADP10" s="90">
        <f t="shared" ref="ADP10:ADP14" si="482">ABU10</f>
        <v>5.03</v>
      </c>
      <c r="ADQ10" s="90">
        <f t="shared" ref="ADQ10:ADQ14" si="483">ACG10</f>
        <v>0.67</v>
      </c>
      <c r="ADR10" s="90">
        <f t="shared" ref="ADR10:ADR14" si="484">ADB10+ADC10+ADP10+ADQ10</f>
        <v>17.380000000000003</v>
      </c>
      <c r="ADU10" s="90">
        <f t="shared" ref="ADU10:ADU14" si="485">HQ10</f>
        <v>1.1499999999999999</v>
      </c>
      <c r="ADV10" s="90">
        <f t="shared" ref="ADV10:ADV14" si="486">AAS10</f>
        <v>0</v>
      </c>
      <c r="ADW10" s="90">
        <f t="shared" ref="ADW10:ADW14" si="487">AAV10</f>
        <v>2.93</v>
      </c>
      <c r="ADX10" s="90">
        <f t="shared" ref="ADX10:ADX14" si="488">ABP10</f>
        <v>4.1100000000000003</v>
      </c>
      <c r="ADY10" s="90">
        <f t="shared" ref="ADY10:ADY14" si="489">AAQ10-ADU10+AAY10+ABA10+ABB10+ABG10+ABL10+ABU10+ACG10</f>
        <v>8.73</v>
      </c>
      <c r="ADZ10" s="90">
        <f t="shared" ref="ADZ10:ADZ14" si="490">ABD10</f>
        <v>0</v>
      </c>
      <c r="AEA10" s="90">
        <f t="shared" ref="AEA10:AEA14" si="491">ACI10</f>
        <v>17.380000000000003</v>
      </c>
      <c r="AEB10" s="90">
        <f t="shared" ref="AEB10:AEB14" si="492">ACN10</f>
        <v>0</v>
      </c>
      <c r="AEC10" s="104">
        <f t="shared" ref="AEC10:AEC14" si="493">ADU10+ADV10+ADW10+ADX10+ADY10+ADZ10</f>
        <v>16.920000000000002</v>
      </c>
      <c r="AED10" s="104">
        <f t="shared" ref="AED10:AED14" si="494">AEA10-AEC10</f>
        <v>0.46000000000000085</v>
      </c>
      <c r="AEG10" s="1">
        <v>7.1400000000000006</v>
      </c>
      <c r="AEH10" s="1">
        <v>4.21</v>
      </c>
      <c r="AEI10" s="1">
        <v>0</v>
      </c>
      <c r="AEJ10" s="1">
        <v>2.93</v>
      </c>
      <c r="AEK10" s="1">
        <v>0</v>
      </c>
      <c r="AEL10" s="1">
        <v>0</v>
      </c>
      <c r="AEM10" s="1">
        <v>0</v>
      </c>
      <c r="AEN10" s="1">
        <v>0</v>
      </c>
      <c r="AEO10" s="1">
        <v>0</v>
      </c>
      <c r="AEP10" s="1">
        <v>0</v>
      </c>
      <c r="AEQ10" s="1">
        <v>0</v>
      </c>
      <c r="AER10" s="1">
        <v>0</v>
      </c>
      <c r="AES10" s="1">
        <v>0</v>
      </c>
      <c r="AET10" s="1">
        <v>0</v>
      </c>
      <c r="AEU10" s="1">
        <v>0</v>
      </c>
      <c r="AEV10" s="1">
        <v>0.02</v>
      </c>
      <c r="AEW10" s="1">
        <v>3.91</v>
      </c>
      <c r="AEX10" s="1">
        <v>7.77</v>
      </c>
      <c r="AEY10" s="1">
        <v>7.26</v>
      </c>
      <c r="AEZ10" s="1">
        <v>4.84</v>
      </c>
      <c r="AFA10" s="1">
        <v>0.03</v>
      </c>
      <c r="AFB10" s="1">
        <v>4.87</v>
      </c>
      <c r="AFC10" s="1">
        <v>227</v>
      </c>
      <c r="AFD10" s="1">
        <v>230.38</v>
      </c>
      <c r="AFE10" s="1">
        <v>0.48</v>
      </c>
      <c r="AFF10" s="1">
        <v>0.17</v>
      </c>
      <c r="AFG10" s="1">
        <v>0.11989898989898991</v>
      </c>
      <c r="AFH10" s="1">
        <v>0.16570000000000001</v>
      </c>
      <c r="AFI10" s="1">
        <v>0.38175323599898991</v>
      </c>
      <c r="AFJ10" s="1">
        <v>0.65</v>
      </c>
      <c r="AFK10" s="1">
        <v>16.54</v>
      </c>
      <c r="AFL10" s="1">
        <v>16.57</v>
      </c>
      <c r="AFM10" s="1">
        <v>3.0000000000001137E-2</v>
      </c>
      <c r="AFO10" s="1">
        <v>16.54</v>
      </c>
      <c r="AFP10" s="1">
        <v>0</v>
      </c>
      <c r="AFQ10" s="1">
        <v>16.53</v>
      </c>
      <c r="AFX10" s="1">
        <v>17.190000000000001</v>
      </c>
    </row>
    <row r="11" spans="1:856" s="1" customFormat="1" ht="63.75" customHeight="1">
      <c r="A11" s="88">
        <v>2</v>
      </c>
      <c r="B11" s="20" t="s">
        <v>574</v>
      </c>
      <c r="C11" s="89" t="s">
        <v>578</v>
      </c>
      <c r="D11" s="20" t="s">
        <v>574</v>
      </c>
      <c r="E11" s="20" t="s">
        <v>437</v>
      </c>
      <c r="F11" s="20" t="s">
        <v>438</v>
      </c>
      <c r="G11" s="20">
        <v>0.8</v>
      </c>
      <c r="H11" s="20">
        <v>92</v>
      </c>
      <c r="I11" s="20">
        <f>92-0.5</f>
        <v>91.5</v>
      </c>
      <c r="J11" s="20">
        <f t="shared" si="0"/>
        <v>73.2</v>
      </c>
      <c r="K11" s="20">
        <v>2</v>
      </c>
      <c r="L11" s="20"/>
      <c r="M11" s="20"/>
      <c r="N11" s="20"/>
      <c r="O11" s="90">
        <f t="shared" si="1"/>
        <v>0</v>
      </c>
      <c r="P11" s="20"/>
      <c r="Q11" s="20"/>
      <c r="R11" s="90">
        <f t="shared" si="2"/>
        <v>0</v>
      </c>
      <c r="S11" s="20"/>
      <c r="T11" s="20">
        <v>2.6</v>
      </c>
      <c r="U11" s="20">
        <v>3.13</v>
      </c>
      <c r="V11" s="91">
        <f t="shared" si="3"/>
        <v>0</v>
      </c>
      <c r="W11" s="20">
        <v>2.1000000000000001E-2</v>
      </c>
      <c r="X11" s="20">
        <f t="shared" si="4"/>
        <v>33.42</v>
      </c>
      <c r="Y11" s="91">
        <f t="shared" si="5"/>
        <v>0</v>
      </c>
      <c r="Z11" s="20"/>
      <c r="AA11" s="20"/>
      <c r="AB11" s="20"/>
      <c r="AC11" s="91">
        <f t="shared" si="6"/>
        <v>0</v>
      </c>
      <c r="AD11" s="90">
        <f t="shared" si="7"/>
        <v>0</v>
      </c>
      <c r="AE11" s="92">
        <f t="shared" si="8"/>
        <v>0</v>
      </c>
      <c r="AF11" s="20">
        <v>8</v>
      </c>
      <c r="AG11" s="20">
        <v>8</v>
      </c>
      <c r="AH11" s="20">
        <v>8</v>
      </c>
      <c r="AI11" s="20"/>
      <c r="AJ11" s="20">
        <v>1.6</v>
      </c>
      <c r="AK11" s="90">
        <f t="shared" si="9"/>
        <v>1.07</v>
      </c>
      <c r="AL11" s="90">
        <v>391.01</v>
      </c>
      <c r="AM11" s="90">
        <f t="shared" si="10"/>
        <v>418.38</v>
      </c>
      <c r="AN11" s="20"/>
      <c r="AO11" s="20"/>
      <c r="AP11" s="20">
        <v>8</v>
      </c>
      <c r="AQ11" s="20"/>
      <c r="AR11" s="20"/>
      <c r="AS11" s="20"/>
      <c r="AT11" s="20">
        <f t="shared" si="11"/>
        <v>0</v>
      </c>
      <c r="AU11" s="20">
        <v>1.6</v>
      </c>
      <c r="AV11" s="90">
        <f t="shared" si="12"/>
        <v>1.07</v>
      </c>
      <c r="AW11" s="90">
        <f t="shared" si="13"/>
        <v>188.88</v>
      </c>
      <c r="AX11" s="90">
        <v>0</v>
      </c>
      <c r="AY11" s="90">
        <f t="shared" si="14"/>
        <v>0</v>
      </c>
      <c r="AZ11" s="90">
        <f t="shared" si="15"/>
        <v>417.08</v>
      </c>
      <c r="BA11" s="90">
        <f t="shared" si="16"/>
        <v>-417.08</v>
      </c>
      <c r="BB11" s="90">
        <v>0</v>
      </c>
      <c r="BC11" s="90">
        <v>0</v>
      </c>
      <c r="BD11" s="92">
        <f t="shared" si="17"/>
        <v>0</v>
      </c>
      <c r="BE11" s="90"/>
      <c r="BF11" s="90">
        <f t="shared" si="18"/>
        <v>0</v>
      </c>
      <c r="BG11" s="90">
        <v>391.01</v>
      </c>
      <c r="BH11" s="90">
        <f t="shared" si="19"/>
        <v>418.38</v>
      </c>
      <c r="BI11" s="90">
        <f t="shared" si="20"/>
        <v>4.57</v>
      </c>
      <c r="BJ11" s="90"/>
      <c r="BK11" s="90">
        <f t="shared" si="22"/>
        <v>418.38</v>
      </c>
      <c r="BL11" s="90">
        <f t="shared" si="23"/>
        <v>4.57</v>
      </c>
      <c r="BM11" s="90"/>
      <c r="BN11" s="90">
        <f t="shared" si="24"/>
        <v>0</v>
      </c>
      <c r="BO11" s="90">
        <f t="shared" si="25"/>
        <v>418.38</v>
      </c>
      <c r="BP11" s="90">
        <f t="shared" si="26"/>
        <v>4.5724590163934424</v>
      </c>
      <c r="BQ11" s="90"/>
      <c r="BR11" s="90">
        <f t="shared" si="27"/>
        <v>0</v>
      </c>
      <c r="BS11" s="90">
        <f t="shared" si="28"/>
        <v>418.38</v>
      </c>
      <c r="BT11" s="90">
        <f t="shared" si="29"/>
        <v>4.5724590163934424</v>
      </c>
      <c r="BU11" s="90"/>
      <c r="BV11" s="93">
        <v>0.82054380000000005</v>
      </c>
      <c r="BW11" s="90">
        <f t="shared" si="30"/>
        <v>75.079757700000002</v>
      </c>
      <c r="BX11" s="90">
        <f t="shared" si="31"/>
        <v>79.584543162000003</v>
      </c>
      <c r="BY11" s="90"/>
      <c r="BZ11" s="90"/>
      <c r="CA11" s="90">
        <v>0.26506960299999999</v>
      </c>
      <c r="CB11" s="90">
        <f>$I11*CA11</f>
        <v>24.253868674499998</v>
      </c>
      <c r="CC11" s="90">
        <v>0.71072749999999996</v>
      </c>
      <c r="CD11" s="90">
        <f t="shared" si="32"/>
        <v>17.237891448355697</v>
      </c>
      <c r="CE11" s="90">
        <f t="shared" si="33"/>
        <v>26.065862846146043</v>
      </c>
      <c r="CF11" s="90">
        <v>25.446540566716756</v>
      </c>
      <c r="CG11" s="90">
        <v>25.446540566716756</v>
      </c>
      <c r="CH11" s="90">
        <f t="shared" si="34"/>
        <v>26.67</v>
      </c>
      <c r="CI11" s="90">
        <f>CH11/($SP11-$HL11)*($SX11-$HN11)</f>
        <v>27.989654096909213</v>
      </c>
      <c r="CJ11" s="90">
        <f t="shared" si="35"/>
        <v>28.14</v>
      </c>
      <c r="CK11" s="90">
        <f t="shared" si="36"/>
        <v>29.756885061171936</v>
      </c>
      <c r="CL11" s="90">
        <f t="shared" si="37"/>
        <v>29.756885061171936</v>
      </c>
      <c r="CM11" s="94">
        <v>0.14899999999999999</v>
      </c>
      <c r="CN11" s="90">
        <f t="shared" si="38"/>
        <v>11.1868838973</v>
      </c>
      <c r="CO11" s="90">
        <f t="shared" si="39"/>
        <v>11.858096931138</v>
      </c>
      <c r="CP11" s="90"/>
      <c r="CQ11" s="90">
        <v>3.9539251999999997E-2</v>
      </c>
      <c r="CR11" s="90">
        <f>$I11*CQ11</f>
        <v>3.6178415579999998</v>
      </c>
      <c r="CS11" s="90">
        <v>0.71072749999999996</v>
      </c>
      <c r="CT11" s="90">
        <f t="shared" si="40"/>
        <v>2.5712994859134448</v>
      </c>
      <c r="CU11" s="90">
        <f t="shared" si="41"/>
        <v>3.8881286575556753</v>
      </c>
      <c r="CV11" s="90">
        <v>7.8639647352114137</v>
      </c>
      <c r="CW11" s="90">
        <f t="shared" si="42"/>
        <v>8.24</v>
      </c>
      <c r="CX11" s="90">
        <f>CW11/($SP11-$HL11)*($SX11-$HN11)</f>
        <v>8.6477221506761115</v>
      </c>
      <c r="CY11" s="90">
        <f t="shared" si="43"/>
        <v>8.69</v>
      </c>
      <c r="CZ11" s="90">
        <f t="shared" si="44"/>
        <v>9.1937282678686429</v>
      </c>
      <c r="DA11" s="90">
        <f t="shared" si="45"/>
        <v>9.1937282678686429</v>
      </c>
      <c r="DB11" s="93">
        <v>0.80939899999999998</v>
      </c>
      <c r="DC11" s="90">
        <f t="shared" si="46"/>
        <v>74.060008499999995</v>
      </c>
      <c r="DD11" s="90">
        <f t="shared" si="47"/>
        <v>78.503609010000005</v>
      </c>
      <c r="DE11" s="90"/>
      <c r="DF11" s="90"/>
      <c r="DG11" s="90">
        <v>0.16261500000000001</v>
      </c>
      <c r="DH11" s="90">
        <f>$I11*DG11</f>
        <v>14.879272500000001</v>
      </c>
      <c r="DI11" s="90">
        <v>0.71072749999999996</v>
      </c>
      <c r="DJ11" s="90">
        <f t="shared" si="48"/>
        <v>10.57510814574375</v>
      </c>
      <c r="DK11" s="90">
        <f t="shared" si="49"/>
        <v>15.990895367682125</v>
      </c>
      <c r="DL11" s="90">
        <v>12.650255342776182</v>
      </c>
      <c r="DM11" s="90">
        <f t="shared" si="50"/>
        <v>13.26</v>
      </c>
      <c r="DN11" s="90">
        <f>DM11/($SP11-$HL11)*($SX11-$HN11)</f>
        <v>13.916115985189956</v>
      </c>
      <c r="DO11" s="90">
        <f t="shared" si="51"/>
        <v>13.99</v>
      </c>
      <c r="DP11" s="90">
        <f t="shared" si="52"/>
        <v>14.794761751448812</v>
      </c>
      <c r="DQ11" s="90">
        <f t="shared" si="53"/>
        <v>14.794761751448812</v>
      </c>
      <c r="DR11" s="93">
        <v>3.1841000000000001E-2</v>
      </c>
      <c r="DS11" s="90">
        <f t="shared" si="54"/>
        <v>2.9134515000000003</v>
      </c>
      <c r="DT11" s="90">
        <f t="shared" si="55"/>
        <v>3.0882585900000006</v>
      </c>
      <c r="DU11" s="90"/>
      <c r="DV11" s="90">
        <v>6.1506180000000001E-3</v>
      </c>
      <c r="DW11" s="90">
        <f>$I11*DV11</f>
        <v>0.56278154700000005</v>
      </c>
      <c r="DX11" s="90">
        <v>0.71072749999999996</v>
      </c>
      <c r="DY11" s="90">
        <f t="shared" si="56"/>
        <v>0.39998432194544253</v>
      </c>
      <c r="DZ11" s="90">
        <f t="shared" si="57"/>
        <v>0.6048266696466027</v>
      </c>
      <c r="EA11" s="90">
        <f t="shared" si="58"/>
        <v>0.63</v>
      </c>
      <c r="EB11" s="90">
        <f>EA11/($SP11-$HL11)*($SX11-$HN11)</f>
        <v>0.66117293142305222</v>
      </c>
      <c r="EC11" s="90">
        <f t="shared" si="59"/>
        <v>0.66</v>
      </c>
      <c r="ED11" s="90">
        <f t="shared" si="60"/>
        <v>0.70291854475209292</v>
      </c>
      <c r="EE11" s="90">
        <f t="shared" si="61"/>
        <v>0.70291854475209292</v>
      </c>
      <c r="EF11" s="94">
        <v>0.85293354333000004</v>
      </c>
      <c r="EG11" s="90">
        <f t="shared" si="62"/>
        <v>62.434735371756005</v>
      </c>
      <c r="EH11" s="90">
        <f t="shared" si="63"/>
        <v>66.180819494061367</v>
      </c>
      <c r="EI11" s="90"/>
      <c r="EJ11" s="90">
        <v>0.58970610199999995</v>
      </c>
      <c r="EK11" s="90">
        <f t="shared" si="64"/>
        <v>43.166486666399997</v>
      </c>
      <c r="EL11" s="90">
        <v>0.71072749999999996</v>
      </c>
      <c r="EM11" s="90">
        <f t="shared" si="65"/>
        <v>30.679609152193802</v>
      </c>
      <c r="EN11" s="90">
        <f t="shared" si="66"/>
        <v>46.391432892491743</v>
      </c>
      <c r="EO11" s="90">
        <v>45.242992010172145</v>
      </c>
      <c r="EP11" s="90">
        <f t="shared" si="67"/>
        <v>47.41</v>
      </c>
      <c r="EQ11" s="90">
        <f>EP11/($SP11-$HL11)*($SX11-$HN11)</f>
        <v>49.755886791693499</v>
      </c>
      <c r="ER11" s="90">
        <f t="shared" si="68"/>
        <v>50.02</v>
      </c>
      <c r="ES11" s="90">
        <f t="shared" si="69"/>
        <v>52.89740985189956</v>
      </c>
      <c r="ET11" s="90">
        <f t="shared" si="70"/>
        <v>52.89740985189956</v>
      </c>
      <c r="EU11" s="94">
        <v>0.14899999999999999</v>
      </c>
      <c r="EV11" s="90">
        <f t="shared" si="71"/>
        <v>9.3027755703916437</v>
      </c>
      <c r="EW11" s="90">
        <f t="shared" si="72"/>
        <v>9.8609421046151429</v>
      </c>
      <c r="EX11" s="90"/>
      <c r="EY11" s="90">
        <v>8.7874999999999995E-2</v>
      </c>
      <c r="EZ11" s="90">
        <f t="shared" si="73"/>
        <v>6.4324500000000002</v>
      </c>
      <c r="FA11" s="90">
        <v>0.71072749999999996</v>
      </c>
      <c r="FB11" s="90">
        <f t="shared" si="74"/>
        <v>4.5717191073750003</v>
      </c>
      <c r="FC11" s="90">
        <f t="shared" si="75"/>
        <v>6.9130150622516586</v>
      </c>
      <c r="FD11" s="90">
        <v>13.991705705049016</v>
      </c>
      <c r="FE11" s="90">
        <f t="shared" si="76"/>
        <v>14.66</v>
      </c>
      <c r="FF11" s="90">
        <f>FE11/($SP11-$HL11)*($SX11-$HN11)</f>
        <v>15.385389166130071</v>
      </c>
      <c r="FG11" s="90">
        <f t="shared" si="77"/>
        <v>15.47</v>
      </c>
      <c r="FH11" s="90">
        <f t="shared" si="78"/>
        <v>16.356802962009017</v>
      </c>
      <c r="FI11" s="90">
        <f t="shared" si="79"/>
        <v>16.356802962009017</v>
      </c>
      <c r="FJ11" s="93">
        <v>0.49981642240000002</v>
      </c>
      <c r="FK11" s="90">
        <f t="shared" si="80"/>
        <v>36.586562119680003</v>
      </c>
      <c r="FL11" s="90">
        <f t="shared" si="81"/>
        <v>38.781755846860804</v>
      </c>
      <c r="FM11" s="90"/>
      <c r="FN11" s="90">
        <v>0.35816899099999999</v>
      </c>
      <c r="FO11" s="90">
        <f t="shared" si="82"/>
        <v>26.217970141200002</v>
      </c>
      <c r="FP11" s="90">
        <v>0.71072749999999996</v>
      </c>
      <c r="FQ11" s="90">
        <f t="shared" si="83"/>
        <v>18.633832373529724</v>
      </c>
      <c r="FR11" s="90">
        <f t="shared" si="84"/>
        <v>28.176701332739444</v>
      </c>
      <c r="FS11" s="90">
        <v>22.211832306620419</v>
      </c>
      <c r="FT11" s="90">
        <f t="shared" si="85"/>
        <v>23.28</v>
      </c>
      <c r="FU11" s="90">
        <v>22.230577798941237</v>
      </c>
      <c r="FV11" s="90">
        <f t="shared" si="86"/>
        <v>23.3</v>
      </c>
      <c r="FW11" s="90">
        <f>FV11/($SP11-$HL11)*($SX11-$HN11)</f>
        <v>24.452903654217646</v>
      </c>
      <c r="FX11" s="90">
        <f t="shared" si="87"/>
        <v>24.58</v>
      </c>
      <c r="FY11" s="90">
        <f t="shared" si="88"/>
        <v>25.996828718609148</v>
      </c>
      <c r="FZ11" s="90">
        <f t="shared" si="89"/>
        <v>25.996828718609148</v>
      </c>
      <c r="GA11" s="94">
        <v>1.352261642E-2</v>
      </c>
      <c r="GB11" s="90">
        <f t="shared" si="90"/>
        <v>0.98985552194399995</v>
      </c>
      <c r="GC11" s="90">
        <f t="shared" si="91"/>
        <v>1.04924685326064</v>
      </c>
      <c r="GD11" s="90"/>
      <c r="GE11" s="90">
        <v>1.0795000000000001E-2</v>
      </c>
      <c r="GF11" s="90">
        <f t="shared" si="92"/>
        <v>0.79019400000000006</v>
      </c>
      <c r="GG11" s="90">
        <v>0.71072749999999996</v>
      </c>
      <c r="GH11" s="90">
        <f t="shared" si="93"/>
        <v>0.56161260613499997</v>
      </c>
      <c r="GI11" s="90">
        <f t="shared" si="94"/>
        <v>0.84922899114659056</v>
      </c>
      <c r="GJ11" s="90">
        <f t="shared" si="95"/>
        <v>0.89</v>
      </c>
      <c r="GK11" s="90">
        <f>GJ11/($SP11-$HL11)*($SX11-$HN11)</f>
        <v>0.93403795074050233</v>
      </c>
      <c r="GL11" s="90">
        <f t="shared" si="96"/>
        <v>0.94</v>
      </c>
      <c r="GM11" s="90">
        <f t="shared" si="97"/>
        <v>0.99301191242755971</v>
      </c>
      <c r="GN11" s="90">
        <f t="shared" si="98"/>
        <v>0.99301191242755971</v>
      </c>
      <c r="GO11" s="90"/>
      <c r="GP11" s="90">
        <f t="shared" si="99"/>
        <v>0</v>
      </c>
      <c r="GQ11" s="90"/>
      <c r="GR11" s="90">
        <f t="shared" si="100"/>
        <v>0</v>
      </c>
      <c r="GS11" s="90">
        <f t="shared" si="101"/>
        <v>0</v>
      </c>
      <c r="GT11" s="90">
        <f t="shared" si="102"/>
        <v>0</v>
      </c>
      <c r="GU11" s="90"/>
      <c r="GV11" s="90"/>
      <c r="GW11" s="90">
        <f t="shared" si="103"/>
        <v>0</v>
      </c>
      <c r="GX11" s="90">
        <f t="shared" si="104"/>
        <v>0</v>
      </c>
      <c r="GY11" s="90"/>
      <c r="GZ11" s="90"/>
      <c r="HA11" s="90">
        <f t="shared" si="105"/>
        <v>0</v>
      </c>
      <c r="HB11" s="90">
        <f t="shared" si="106"/>
        <v>0</v>
      </c>
      <c r="HC11" s="90"/>
      <c r="HD11" s="90"/>
      <c r="HE11" s="90">
        <f t="shared" si="107"/>
        <v>0</v>
      </c>
      <c r="HF11" s="90">
        <f t="shared" si="108"/>
        <v>0</v>
      </c>
      <c r="HG11" s="90"/>
      <c r="HH11" s="90"/>
      <c r="HI11" s="90">
        <v>0.96</v>
      </c>
      <c r="HJ11" s="90">
        <f t="shared" si="109"/>
        <v>87.84</v>
      </c>
      <c r="HK11" s="90">
        <f t="shared" si="110"/>
        <v>1.0061202185792351</v>
      </c>
      <c r="HL11" s="90">
        <f t="shared" si="111"/>
        <v>92.06</v>
      </c>
      <c r="HM11" s="90">
        <v>1.07</v>
      </c>
      <c r="HN11" s="90">
        <f t="shared" si="112"/>
        <v>97.905000000000001</v>
      </c>
      <c r="HO11" s="90">
        <v>1.1499999999999999</v>
      </c>
      <c r="HP11" s="90">
        <f t="shared" si="113"/>
        <v>105.23</v>
      </c>
      <c r="HQ11" s="90">
        <v>1.1499999999999999</v>
      </c>
      <c r="HR11" s="90">
        <f t="shared" si="114"/>
        <v>105.23</v>
      </c>
      <c r="HS11" s="90">
        <v>0.31922129999999999</v>
      </c>
      <c r="HT11" s="90">
        <f>$I11*HS11</f>
        <v>29.20874895</v>
      </c>
      <c r="HU11" s="90" t="e">
        <f>HT11*#REF!</f>
        <v>#REF!</v>
      </c>
      <c r="HV11" s="20">
        <v>2.5</v>
      </c>
      <c r="HW11" s="90">
        <v>3.1</v>
      </c>
      <c r="HX11" s="90">
        <f t="shared" si="115"/>
        <v>283.65000000000003</v>
      </c>
      <c r="HY11" s="90">
        <v>1.06</v>
      </c>
      <c r="HZ11" s="90">
        <f t="shared" si="116"/>
        <v>300.66900000000004</v>
      </c>
      <c r="IA11" s="90">
        <f t="shared" si="117"/>
        <v>3.29</v>
      </c>
      <c r="IB11" s="90">
        <f t="shared" si="118"/>
        <v>3.45</v>
      </c>
      <c r="IC11" s="90">
        <f t="shared" si="119"/>
        <v>315.67500000000001</v>
      </c>
      <c r="ID11" s="90">
        <f t="shared" si="120"/>
        <v>3.64</v>
      </c>
      <c r="IE11" s="90">
        <f t="shared" si="121"/>
        <v>333.06</v>
      </c>
      <c r="IF11" s="90">
        <f t="shared" si="122"/>
        <v>3.64</v>
      </c>
      <c r="IG11" s="92">
        <f t="shared" si="123"/>
        <v>3996.7200000000003</v>
      </c>
      <c r="IH11" s="90">
        <v>3.91</v>
      </c>
      <c r="II11" s="90">
        <f t="shared" si="124"/>
        <v>4.1100000000000003</v>
      </c>
      <c r="IJ11" s="90">
        <f t="shared" si="125"/>
        <v>376.07</v>
      </c>
      <c r="IK11" s="90">
        <f t="shared" si="126"/>
        <v>4.1100000000000003</v>
      </c>
      <c r="IL11" s="90">
        <f t="shared" si="127"/>
        <v>376.07</v>
      </c>
      <c r="IM11" s="90">
        <f t="shared" si="128"/>
        <v>4.1100000000000003</v>
      </c>
      <c r="IN11" s="90">
        <f t="shared" si="129"/>
        <v>376.07</v>
      </c>
      <c r="IO11" s="90">
        <f t="shared" si="130"/>
        <v>4.1100000000000003</v>
      </c>
      <c r="IP11" s="93">
        <v>0.37052404126999999</v>
      </c>
      <c r="IQ11" s="90">
        <f t="shared" si="131"/>
        <v>27.122359820964</v>
      </c>
      <c r="IR11" s="90">
        <f t="shared" si="132"/>
        <v>28.749701410221842</v>
      </c>
      <c r="IS11" s="90">
        <v>108693.96</v>
      </c>
      <c r="IT11" s="90">
        <v>3053.33</v>
      </c>
      <c r="IU11" s="94"/>
      <c r="IV11" s="94"/>
      <c r="IW11" s="94">
        <v>1.697699101</v>
      </c>
      <c r="IX11" s="90">
        <f t="shared" si="133"/>
        <v>124.27157419320001</v>
      </c>
      <c r="IY11" s="93">
        <v>0.56339614052999998</v>
      </c>
      <c r="IZ11" s="90">
        <f t="shared" si="134"/>
        <v>51.550746858494996</v>
      </c>
      <c r="JA11" s="90">
        <f t="shared" si="135"/>
        <v>54.03</v>
      </c>
      <c r="JB11" s="90">
        <f>JA11/($SP11-$HL11)*($SX11-$HN11)</f>
        <v>56.703449975853196</v>
      </c>
      <c r="JC11" s="90">
        <f t="shared" si="136"/>
        <v>57</v>
      </c>
      <c r="JD11" s="90">
        <f t="shared" si="137"/>
        <v>60.283633290405682</v>
      </c>
      <c r="JE11" s="90">
        <f t="shared" si="138"/>
        <v>60.283633290405682</v>
      </c>
      <c r="JF11" s="93">
        <v>4.2278943710000003E-2</v>
      </c>
      <c r="JG11" s="90">
        <f t="shared" si="139"/>
        <v>3.0948186795720005</v>
      </c>
      <c r="JH11" s="90">
        <f t="shared" si="140"/>
        <v>3.2805078003463208</v>
      </c>
      <c r="JI11" s="20">
        <v>462.98</v>
      </c>
      <c r="JJ11" s="20"/>
      <c r="JK11" s="20">
        <v>6.0564350000000003E-2</v>
      </c>
      <c r="JL11" s="90">
        <f t="shared" si="141"/>
        <v>4.4333104200000006</v>
      </c>
      <c r="JM11" s="93">
        <v>6.7347080040000007E-2</v>
      </c>
      <c r="JN11" s="90">
        <f t="shared" si="142"/>
        <v>6.162257823660001</v>
      </c>
      <c r="JO11" s="90">
        <f t="shared" si="143"/>
        <v>6.46</v>
      </c>
      <c r="JP11" s="90">
        <f>JO11/($SP11-$HL11)*($SX11-$HN11)</f>
        <v>6.7796462491951059</v>
      </c>
      <c r="JQ11" s="90">
        <f t="shared" si="144"/>
        <v>6.82</v>
      </c>
      <c r="JR11" s="90">
        <f t="shared" si="145"/>
        <v>7.2077044430135233</v>
      </c>
      <c r="JS11" s="90">
        <f t="shared" si="146"/>
        <v>7.2077044430135233</v>
      </c>
      <c r="JT11" s="93">
        <v>7.3220517000000002E-3</v>
      </c>
      <c r="JU11" s="90">
        <f t="shared" si="147"/>
        <v>0.53597418444</v>
      </c>
      <c r="JV11" s="90">
        <f t="shared" si="148"/>
        <v>0.56000000000000005</v>
      </c>
      <c r="JW11" s="90">
        <f>JV11/($SP11-$HL11)*($SX11-$HN11)</f>
        <v>0.58770927237604642</v>
      </c>
      <c r="JX11" s="90">
        <f t="shared" si="149"/>
        <v>0.59</v>
      </c>
      <c r="JY11" s="90">
        <f t="shared" si="150"/>
        <v>0.62481648422408254</v>
      </c>
      <c r="JZ11" s="90">
        <f t="shared" si="151"/>
        <v>0.62481648422408254</v>
      </c>
      <c r="KA11" s="90">
        <v>8.3090999999999998E-3</v>
      </c>
      <c r="KB11" s="90">
        <f t="shared" si="152"/>
        <v>0.60822611999999998</v>
      </c>
      <c r="KC11" s="90" t="e">
        <f>KB11*#REF!</f>
        <v>#REF!</v>
      </c>
      <c r="KD11" s="90">
        <v>16587.36</v>
      </c>
      <c r="KE11" s="90">
        <v>17977.669999999998</v>
      </c>
      <c r="KF11" s="90"/>
      <c r="KG11" s="90">
        <f t="shared" si="153"/>
        <v>99.169295475591042</v>
      </c>
      <c r="KH11" s="90" t="e">
        <f>KG11/(BW11+#REF!)*(CB11+#REF!)</f>
        <v>#REF!</v>
      </c>
      <c r="KI11" s="90">
        <v>0.8</v>
      </c>
      <c r="KJ11" s="94"/>
      <c r="KK11" s="90">
        <f t="shared" si="154"/>
        <v>0</v>
      </c>
      <c r="KL11" s="93">
        <v>1.1147001000000001</v>
      </c>
      <c r="KM11" s="90">
        <f>$I11*KL11</f>
        <v>101.99505915</v>
      </c>
      <c r="KN11" s="90">
        <f t="shared" si="155"/>
        <v>108.11476269900001</v>
      </c>
      <c r="KO11" s="90" t="e">
        <f>BW11+CN11+DC11+DS11+EG11+EV11+FK11+GB11+#REF!+#REF!+HJ11+HX11+IQ11+JG11+JU11+KK11+KM11</f>
        <v>#REF!</v>
      </c>
      <c r="KP11" s="90"/>
      <c r="KQ11" s="90">
        <v>0.50814738999999998</v>
      </c>
      <c r="KR11" s="90">
        <f>$I11*KQ11</f>
        <v>46.495486184999997</v>
      </c>
      <c r="KS11" s="90">
        <v>0.71072749999999996</v>
      </c>
      <c r="KT11" s="90">
        <f t="shared" si="156"/>
        <v>33.045620657549584</v>
      </c>
      <c r="KU11" s="90">
        <f t="shared" si="157"/>
        <v>49.969140269045049</v>
      </c>
      <c r="KV11" s="90">
        <f t="shared" si="158"/>
        <v>52.37</v>
      </c>
      <c r="KW11" s="90">
        <f>KV11/($SP11-$HL11)*($SX11-$HN11)</f>
        <v>54.961311775595618</v>
      </c>
      <c r="KX11" s="90">
        <f t="shared" si="159"/>
        <v>55.25</v>
      </c>
      <c r="KY11" s="90">
        <f t="shared" si="160"/>
        <v>58.431498712169997</v>
      </c>
      <c r="KZ11" s="90">
        <f t="shared" si="161"/>
        <v>58.431498712169997</v>
      </c>
      <c r="LA11" s="90">
        <f t="shared" si="162"/>
        <v>358.68</v>
      </c>
      <c r="LB11" s="90">
        <f t="shared" si="163"/>
        <v>3.92</v>
      </c>
      <c r="LC11" s="92">
        <f t="shared" si="164"/>
        <v>4304.16</v>
      </c>
      <c r="LD11" s="92">
        <v>4.21</v>
      </c>
      <c r="LE11" s="92">
        <v>385.22</v>
      </c>
      <c r="LF11" s="90">
        <f t="shared" si="165"/>
        <v>4.18</v>
      </c>
      <c r="LG11" s="90">
        <f t="shared" si="166"/>
        <v>382.47</v>
      </c>
      <c r="LH11" s="90">
        <f t="shared" si="167"/>
        <v>385.58100000000002</v>
      </c>
      <c r="LI11" s="90">
        <f t="shared" si="168"/>
        <v>4.21</v>
      </c>
      <c r="LJ11" s="90">
        <f t="shared" si="169"/>
        <v>382.47000000000014</v>
      </c>
      <c r="LK11" s="90">
        <f t="shared" si="170"/>
        <v>4.18</v>
      </c>
      <c r="LL11" s="90">
        <f t="shared" si="171"/>
        <v>382.47000000000014</v>
      </c>
      <c r="LM11" s="90">
        <f t="shared" si="172"/>
        <v>4.18</v>
      </c>
      <c r="LN11" s="95">
        <v>0.46</v>
      </c>
      <c r="LO11" s="95">
        <f t="shared" si="173"/>
        <v>42.09</v>
      </c>
      <c r="LP11" s="95"/>
      <c r="LQ11" s="95">
        <f t="shared" si="174"/>
        <v>0</v>
      </c>
      <c r="LR11" s="90"/>
      <c r="LS11" s="90"/>
      <c r="LT11" s="90">
        <f t="shared" si="175"/>
        <v>0</v>
      </c>
      <c r="LU11" s="90"/>
      <c r="LV11" s="90">
        <f t="shared" si="176"/>
        <v>0</v>
      </c>
      <c r="LW11" s="90">
        <f t="shared" si="177"/>
        <v>0</v>
      </c>
      <c r="LX11" s="90"/>
      <c r="LY11" s="90"/>
      <c r="LZ11" s="90">
        <f t="shared" si="178"/>
        <v>0</v>
      </c>
      <c r="MA11" s="90"/>
      <c r="MB11" s="90">
        <f t="shared" si="179"/>
        <v>0</v>
      </c>
      <c r="MC11" s="90">
        <f t="shared" si="180"/>
        <v>0</v>
      </c>
      <c r="MD11" s="90"/>
      <c r="ME11" s="90"/>
      <c r="MF11" s="90">
        <f t="shared" si="181"/>
        <v>0</v>
      </c>
      <c r="MG11" s="90"/>
      <c r="MH11" s="90">
        <f t="shared" si="182"/>
        <v>0</v>
      </c>
      <c r="MI11" s="90">
        <f t="shared" si="183"/>
        <v>0</v>
      </c>
      <c r="MJ11" s="90"/>
      <c r="MK11" s="90"/>
      <c r="ML11" s="90">
        <f t="shared" si="184"/>
        <v>0</v>
      </c>
      <c r="MM11" s="90"/>
      <c r="MN11" s="90">
        <f t="shared" si="185"/>
        <v>0</v>
      </c>
      <c r="MO11" s="90">
        <f t="shared" si="186"/>
        <v>0</v>
      </c>
      <c r="MP11" s="90">
        <f t="shared" si="187"/>
        <v>0</v>
      </c>
      <c r="MQ11" s="90">
        <f t="shared" si="188"/>
        <v>0</v>
      </c>
      <c r="MR11" s="90">
        <f t="shared" si="189"/>
        <v>0</v>
      </c>
      <c r="MS11" s="90">
        <f t="shared" si="190"/>
        <v>0</v>
      </c>
      <c r="MT11" s="95"/>
      <c r="MU11" s="95">
        <f t="shared" si="191"/>
        <v>0</v>
      </c>
      <c r="MV11" s="92">
        <f t="shared" si="192"/>
        <v>0</v>
      </c>
      <c r="MW11" s="95"/>
      <c r="MX11" s="95">
        <f t="shared" si="193"/>
        <v>0</v>
      </c>
      <c r="MY11" s="95"/>
      <c r="MZ11" s="95">
        <f t="shared" si="194"/>
        <v>0</v>
      </c>
      <c r="NA11" s="95"/>
      <c r="NB11" s="95">
        <f t="shared" si="195"/>
        <v>0</v>
      </c>
      <c r="NC11" s="92">
        <f t="shared" si="196"/>
        <v>0</v>
      </c>
      <c r="ND11" s="95"/>
      <c r="NE11" s="95">
        <f t="shared" si="197"/>
        <v>0</v>
      </c>
      <c r="NF11" s="95"/>
      <c r="NG11" s="95">
        <f t="shared" si="198"/>
        <v>0</v>
      </c>
      <c r="NH11" s="95"/>
      <c r="NI11" s="95"/>
      <c r="NJ11" s="95">
        <f t="shared" si="199"/>
        <v>0</v>
      </c>
      <c r="NK11" s="92">
        <f t="shared" si="200"/>
        <v>0</v>
      </c>
      <c r="NL11" s="95"/>
      <c r="NM11" s="95">
        <f t="shared" si="201"/>
        <v>0</v>
      </c>
      <c r="NN11" s="95"/>
      <c r="NO11" s="95">
        <f t="shared" si="202"/>
        <v>0</v>
      </c>
      <c r="NP11" s="95"/>
      <c r="NQ11" s="95">
        <f t="shared" si="203"/>
        <v>0</v>
      </c>
      <c r="NR11" s="92">
        <f t="shared" si="204"/>
        <v>0</v>
      </c>
      <c r="NS11" s="95"/>
      <c r="NT11" s="95">
        <f t="shared" si="205"/>
        <v>0</v>
      </c>
      <c r="NU11" s="95"/>
      <c r="NV11" s="95">
        <f t="shared" si="206"/>
        <v>0</v>
      </c>
      <c r="NW11" s="95"/>
      <c r="NX11" s="95">
        <f t="shared" si="207"/>
        <v>0</v>
      </c>
      <c r="NY11" s="92">
        <f t="shared" si="208"/>
        <v>0</v>
      </c>
      <c r="NZ11" s="95"/>
      <c r="OA11" s="95">
        <f t="shared" si="209"/>
        <v>0</v>
      </c>
      <c r="OB11" s="95"/>
      <c r="OC11" s="95">
        <f t="shared" si="210"/>
        <v>0</v>
      </c>
      <c r="OD11" s="90">
        <v>664.29</v>
      </c>
      <c r="OE11" s="90">
        <f t="shared" si="211"/>
        <v>7.26</v>
      </c>
      <c r="OF11" s="92">
        <f t="shared" si="212"/>
        <v>7971.48</v>
      </c>
      <c r="OG11" s="96">
        <v>0</v>
      </c>
      <c r="OH11" s="96">
        <v>0</v>
      </c>
      <c r="OI11" s="90">
        <v>664.29</v>
      </c>
      <c r="OJ11" s="90">
        <f t="shared" si="213"/>
        <v>7.26</v>
      </c>
      <c r="OK11" s="90">
        <f t="shared" si="214"/>
        <v>664.29</v>
      </c>
      <c r="OL11" s="90">
        <f t="shared" si="215"/>
        <v>7.26</v>
      </c>
      <c r="OM11" s="90">
        <f t="shared" si="216"/>
        <v>0</v>
      </c>
      <c r="ON11" s="90">
        <v>664.29</v>
      </c>
      <c r="OO11" s="90">
        <f t="shared" si="217"/>
        <v>7.26</v>
      </c>
      <c r="OP11" s="90">
        <v>664.29</v>
      </c>
      <c r="OQ11" s="90">
        <v>7.26</v>
      </c>
      <c r="OR11" s="90">
        <f t="shared" si="218"/>
        <v>0</v>
      </c>
      <c r="OS11" s="90">
        <f t="shared" si="219"/>
        <v>7.26</v>
      </c>
      <c r="OT11" s="90">
        <v>664.29</v>
      </c>
      <c r="OU11" s="90">
        <f t="shared" si="220"/>
        <v>7.26</v>
      </c>
      <c r="OV11" s="97">
        <v>664.29</v>
      </c>
      <c r="OW11" s="90">
        <f t="shared" si="221"/>
        <v>732</v>
      </c>
      <c r="OX11" s="90">
        <f t="shared" si="222"/>
        <v>8</v>
      </c>
      <c r="OY11" s="90">
        <f>OU11-1+1+18.44-17.7</f>
        <v>8.0000000000000036</v>
      </c>
      <c r="OZ11" s="90"/>
      <c r="PA11" s="90"/>
      <c r="PB11" s="95">
        <f t="shared" si="223"/>
        <v>0</v>
      </c>
      <c r="PC11" s="92">
        <f t="shared" si="224"/>
        <v>0</v>
      </c>
      <c r="PD11" s="90"/>
      <c r="PE11" s="95">
        <f t="shared" si="225"/>
        <v>0</v>
      </c>
      <c r="PF11" s="90">
        <f t="shared" si="226"/>
        <v>1356.03</v>
      </c>
      <c r="PG11" s="90">
        <f t="shared" si="227"/>
        <v>14.82</v>
      </c>
      <c r="PH11" s="90">
        <f t="shared" si="228"/>
        <v>1951.01</v>
      </c>
      <c r="PI11" s="90">
        <f t="shared" si="229"/>
        <v>21.32</v>
      </c>
      <c r="PJ11" s="90">
        <f t="shared" si="230"/>
        <v>1951.01</v>
      </c>
      <c r="PK11" s="90">
        <f t="shared" si="231"/>
        <v>21.32</v>
      </c>
      <c r="PL11" s="90"/>
      <c r="PM11" s="90">
        <f t="shared" si="232"/>
        <v>40.68</v>
      </c>
      <c r="PN11" s="90">
        <f t="shared" si="233"/>
        <v>0.44</v>
      </c>
      <c r="PO11" s="92">
        <f t="shared" si="234"/>
        <v>488.15999999999997</v>
      </c>
      <c r="PP11" s="90">
        <f t="shared" si="235"/>
        <v>58.53</v>
      </c>
      <c r="PQ11" s="90">
        <f t="shared" si="236"/>
        <v>0.64</v>
      </c>
      <c r="PR11" s="90">
        <f t="shared" si="237"/>
        <v>58.53</v>
      </c>
      <c r="PS11" s="90">
        <f t="shared" si="238"/>
        <v>0.64</v>
      </c>
      <c r="PT11" s="90">
        <f t="shared" si="239"/>
        <v>1396.71</v>
      </c>
      <c r="PU11" s="90">
        <f t="shared" si="240"/>
        <v>15.26</v>
      </c>
      <c r="PV11" s="90">
        <f t="shared" si="241"/>
        <v>2009.54</v>
      </c>
      <c r="PW11" s="90">
        <f t="shared" si="242"/>
        <v>21.96</v>
      </c>
      <c r="PX11" s="90">
        <f t="shared" si="243"/>
        <v>2009.54</v>
      </c>
      <c r="PY11" s="90">
        <f t="shared" si="244"/>
        <v>21.96</v>
      </c>
      <c r="PZ11" s="90">
        <f t="shared" si="245"/>
        <v>14.11</v>
      </c>
      <c r="QA11" s="90">
        <f t="shared" si="246"/>
        <v>0.15</v>
      </c>
      <c r="QB11" s="92">
        <f t="shared" si="247"/>
        <v>169.32</v>
      </c>
      <c r="QC11" s="90">
        <f t="shared" si="248"/>
        <v>20.3</v>
      </c>
      <c r="QD11" s="90">
        <f t="shared" si="249"/>
        <v>0.22</v>
      </c>
      <c r="QE11" s="90">
        <f t="shared" si="250"/>
        <v>20.3</v>
      </c>
      <c r="QF11" s="90">
        <f t="shared" si="251"/>
        <v>0.22</v>
      </c>
      <c r="QG11" s="90">
        <f t="shared" si="252"/>
        <v>1410.82</v>
      </c>
      <c r="QH11" s="90">
        <f t="shared" si="253"/>
        <v>15.42</v>
      </c>
      <c r="QI11" s="92">
        <f t="shared" si="254"/>
        <v>16929.84</v>
      </c>
      <c r="QJ11" s="90">
        <f t="shared" si="255"/>
        <v>70.38131177559562</v>
      </c>
      <c r="QK11" s="98">
        <f t="shared" si="256"/>
        <v>0.21869999999999998</v>
      </c>
      <c r="QL11" s="90">
        <f t="shared" si="257"/>
        <v>20.011049999999997</v>
      </c>
      <c r="QM11" s="90">
        <f t="shared" si="258"/>
        <v>0.14579999999999999</v>
      </c>
      <c r="QN11" s="90">
        <f t="shared" si="259"/>
        <v>13.340699999999998</v>
      </c>
      <c r="QO11" s="90">
        <v>0.21869999999999998</v>
      </c>
      <c r="QP11" s="90">
        <v>0.14579999999999999</v>
      </c>
      <c r="QQ11" s="97">
        <f t="shared" si="260"/>
        <v>33.351749999999996</v>
      </c>
      <c r="QR11" s="97">
        <v>33.351749999999996</v>
      </c>
      <c r="QS11" s="97">
        <f t="shared" si="261"/>
        <v>0</v>
      </c>
      <c r="QT11" s="90"/>
      <c r="QU11" s="90">
        <f t="shared" si="262"/>
        <v>0.14579999999999999</v>
      </c>
      <c r="QV11" s="90">
        <f t="shared" si="263"/>
        <v>13.340699999999998</v>
      </c>
      <c r="QW11" s="90">
        <f t="shared" si="264"/>
        <v>33.351749999999996</v>
      </c>
      <c r="QX11" s="90">
        <f t="shared" si="265"/>
        <v>0.36449999999999994</v>
      </c>
      <c r="QY11" s="90"/>
      <c r="QZ11" s="90"/>
      <c r="RA11" s="90"/>
      <c r="RB11" s="90">
        <v>340.53999999999996</v>
      </c>
      <c r="RC11" s="97">
        <f t="shared" si="266"/>
        <v>1410.82</v>
      </c>
      <c r="RD11" s="97">
        <f t="shared" si="267"/>
        <v>15.42</v>
      </c>
      <c r="RE11" s="90">
        <f t="shared" si="268"/>
        <v>2029.84</v>
      </c>
      <c r="RF11" s="90">
        <f t="shared" si="269"/>
        <v>22.18</v>
      </c>
      <c r="RG11" s="90">
        <f t="shared" si="270"/>
        <v>143.93251135626218</v>
      </c>
      <c r="RH11" s="90">
        <f t="shared" si="271"/>
        <v>2029.84</v>
      </c>
      <c r="RI11" s="90">
        <f t="shared" si="272"/>
        <v>22.18</v>
      </c>
      <c r="RJ11" s="90">
        <v>21.409999999999997</v>
      </c>
      <c r="RK11" s="90">
        <v>0</v>
      </c>
      <c r="RL11" s="90">
        <f t="shared" si="273"/>
        <v>0.77000000000000313</v>
      </c>
      <c r="RM11" s="90">
        <f t="shared" si="274"/>
        <v>138.625</v>
      </c>
      <c r="RN11" s="90">
        <f t="shared" si="275"/>
        <v>691.74</v>
      </c>
      <c r="RO11" s="90"/>
      <c r="RP11" s="90"/>
      <c r="RQ11" s="99">
        <v>265</v>
      </c>
      <c r="RR11" s="90">
        <f t="shared" si="276"/>
        <v>746.53</v>
      </c>
      <c r="RS11" s="90">
        <f t="shared" si="277"/>
        <v>8.1587978142076505</v>
      </c>
      <c r="RT11" s="90">
        <v>11.28</v>
      </c>
      <c r="RU11" s="90">
        <f t="shared" si="278"/>
        <v>1032.1199999999999</v>
      </c>
      <c r="RV11" s="90">
        <f t="shared" si="279"/>
        <v>0.76919466421415983</v>
      </c>
      <c r="RW11" s="90">
        <v>10.43</v>
      </c>
      <c r="RX11" s="90">
        <f t="shared" si="280"/>
        <v>10.951499999999999</v>
      </c>
      <c r="RY11" s="90">
        <f t="shared" si="281"/>
        <v>1002.0622499999999</v>
      </c>
      <c r="RZ11" s="90">
        <f t="shared" si="282"/>
        <v>264.36565616533647</v>
      </c>
      <c r="SA11" s="90">
        <f t="shared" si="283"/>
        <v>118.27667729874149</v>
      </c>
      <c r="SB11" s="90">
        <f t="shared" si="284"/>
        <v>178.84923208870501</v>
      </c>
      <c r="SC11" s="90">
        <f t="shared" si="285"/>
        <v>324.93821095530001</v>
      </c>
      <c r="SD11" s="90">
        <f t="shared" si="286"/>
        <v>324.93821095530001</v>
      </c>
      <c r="SE11" s="90">
        <f t="shared" si="287"/>
        <v>329.82871536315002</v>
      </c>
      <c r="SF11" s="90">
        <f t="shared" si="288"/>
        <v>324.91946546297919</v>
      </c>
      <c r="SG11" s="90">
        <f t="shared" si="289"/>
        <v>1.8745492320817903E-2</v>
      </c>
      <c r="SH11" s="90">
        <f t="shared" si="290"/>
        <v>324.93821095530001</v>
      </c>
      <c r="SI11" s="90">
        <f t="shared" si="291"/>
        <v>3.5512372781999999</v>
      </c>
      <c r="SJ11" s="90">
        <f t="shared" si="292"/>
        <v>3.5510324094314667</v>
      </c>
      <c r="SK11" s="90"/>
      <c r="SL11" s="90"/>
      <c r="SM11" s="90"/>
      <c r="SN11" s="90">
        <f t="shared" si="293"/>
        <v>347.89</v>
      </c>
      <c r="SO11" s="90" t="e">
        <f>RU11-#REF!-#REF!-HZ11-LT11-LZ11-MF11-ML11-QL11-QN11-SD11</f>
        <v>#REF!</v>
      </c>
      <c r="SP11" s="90">
        <f t="shared" si="294"/>
        <v>340.53999999999996</v>
      </c>
      <c r="SQ11" s="90">
        <f t="shared" si="295"/>
        <v>358.68</v>
      </c>
      <c r="SR11" s="90">
        <f t="shared" si="296"/>
        <v>3.7217486338797809</v>
      </c>
      <c r="SS11" s="90">
        <f t="shared" si="297"/>
        <v>3.92</v>
      </c>
      <c r="ST11" s="90">
        <f t="shared" si="298"/>
        <v>360.05499999999995</v>
      </c>
      <c r="SU11" s="90">
        <v>3.7217486338797809</v>
      </c>
      <c r="SV11" s="90">
        <f t="shared" si="299"/>
        <v>3.94</v>
      </c>
      <c r="SW11" s="90">
        <v>3.92</v>
      </c>
      <c r="SX11" s="90">
        <f t="shared" si="300"/>
        <v>358.68</v>
      </c>
      <c r="SY11" s="90">
        <v>3.7217486338797809</v>
      </c>
      <c r="SZ11" s="90">
        <f t="shared" si="301"/>
        <v>340.53999999999996</v>
      </c>
      <c r="TA11" s="90">
        <f t="shared" si="302"/>
        <v>0</v>
      </c>
      <c r="TB11" s="90">
        <v>0</v>
      </c>
      <c r="TC11" s="90">
        <f t="shared" si="303"/>
        <v>342.55325000000005</v>
      </c>
      <c r="TD11" s="90" t="e">
        <f>#REF!+#REF!</f>
        <v>#REF!</v>
      </c>
      <c r="TE11" s="90" t="e">
        <f t="shared" si="304"/>
        <v>#REF!</v>
      </c>
      <c r="TF11" s="90">
        <v>342.55325000000005</v>
      </c>
      <c r="TG11" s="90">
        <f t="shared" si="305"/>
        <v>33.189285160640239</v>
      </c>
      <c r="TH11" s="95"/>
      <c r="TI11" s="95"/>
      <c r="TJ11" s="95"/>
      <c r="TK11" s="95"/>
      <c r="TL11" s="95"/>
      <c r="TM11" s="95">
        <f t="shared" si="306"/>
        <v>0</v>
      </c>
      <c r="TN11" s="95">
        <f t="shared" si="307"/>
        <v>1032.1199999999999</v>
      </c>
      <c r="TO11" s="95">
        <f t="shared" si="308"/>
        <v>33.189285160640239</v>
      </c>
      <c r="TP11" s="95"/>
      <c r="TQ11" s="95">
        <f t="shared" si="309"/>
        <v>14.579999999999998</v>
      </c>
      <c r="TR11" s="95"/>
      <c r="TS11" s="95"/>
      <c r="TT11" s="95"/>
      <c r="TU11" s="95"/>
      <c r="TV11" s="95"/>
      <c r="TW11" s="95"/>
      <c r="TX11" s="95"/>
      <c r="TY11" s="95"/>
      <c r="TZ11" s="95">
        <f t="shared" si="310"/>
        <v>2.5</v>
      </c>
      <c r="UA11" s="95">
        <f t="shared" si="311"/>
        <v>0.64151999999999998</v>
      </c>
      <c r="UB11" s="90">
        <v>3.3</v>
      </c>
      <c r="UC11" s="90">
        <f t="shared" si="312"/>
        <v>301.95</v>
      </c>
      <c r="UD11" s="90">
        <f t="shared" si="313"/>
        <v>3.05</v>
      </c>
      <c r="UE11" s="90">
        <f t="shared" si="314"/>
        <v>298.89999999999998</v>
      </c>
      <c r="UF11" s="90">
        <f t="shared" si="315"/>
        <v>1334.07</v>
      </c>
      <c r="UG11" s="91">
        <f t="shared" si="316"/>
        <v>22.633744855967077</v>
      </c>
      <c r="UH11" s="95">
        <f t="shared" si="317"/>
        <v>25.677307037861585</v>
      </c>
      <c r="UI11" s="95">
        <f t="shared" si="318"/>
        <v>1334.07</v>
      </c>
      <c r="UJ11" s="101">
        <f t="shared" si="319"/>
        <v>22.633744855967077</v>
      </c>
      <c r="UK11" s="101">
        <f t="shared" si="320"/>
        <v>25.677307037861585</v>
      </c>
      <c r="UL11" s="90" t="e">
        <f>(#REF!+#REF!+HZ11+LT11+LZ11+MF11+ML11+QL11+QN11+SN11+TC11+TM11+UC11)/I11</f>
        <v>#REF!</v>
      </c>
      <c r="UN11" s="90" t="e">
        <f>#REF!/I11</f>
        <v>#REF!</v>
      </c>
      <c r="UO11" s="90" t="e">
        <f>#REF!/I11</f>
        <v>#REF!</v>
      </c>
      <c r="UP11" s="90">
        <v>1.1499999999999999</v>
      </c>
      <c r="UQ11" s="90" t="e">
        <f t="shared" si="321"/>
        <v>#REF!</v>
      </c>
      <c r="UR11" s="90">
        <f t="shared" si="322"/>
        <v>746.53</v>
      </c>
      <c r="US11" s="90">
        <f t="shared" si="323"/>
        <v>1255.75</v>
      </c>
      <c r="UT11" s="90">
        <f t="shared" si="324"/>
        <v>1255.75</v>
      </c>
      <c r="UU11" s="90">
        <f t="shared" si="325"/>
        <v>1297.8399999999999</v>
      </c>
      <c r="UV11" s="90">
        <f t="shared" si="326"/>
        <v>1255.75</v>
      </c>
      <c r="UW11" s="90">
        <f t="shared" si="327"/>
        <v>3.92</v>
      </c>
      <c r="UX11" s="90">
        <f t="shared" si="328"/>
        <v>3.92</v>
      </c>
      <c r="UY11" s="90">
        <f t="shared" si="329"/>
        <v>3.8020765027322403</v>
      </c>
      <c r="UZ11" s="100">
        <f t="shared" si="330"/>
        <v>3.5512372781999999</v>
      </c>
      <c r="VA11" s="90">
        <f t="shared" si="331"/>
        <v>0</v>
      </c>
      <c r="VB11" s="90">
        <f t="shared" si="332"/>
        <v>0</v>
      </c>
      <c r="VC11" s="90">
        <f t="shared" si="333"/>
        <v>0</v>
      </c>
      <c r="VD11" s="90">
        <f t="shared" si="334"/>
        <v>0</v>
      </c>
      <c r="VE11" s="90">
        <f t="shared" si="335"/>
        <v>0</v>
      </c>
      <c r="VF11" s="90">
        <f t="shared" si="336"/>
        <v>0</v>
      </c>
      <c r="VG11" s="90">
        <f t="shared" si="337"/>
        <v>0</v>
      </c>
      <c r="VH11" s="90">
        <f t="shared" si="338"/>
        <v>0</v>
      </c>
      <c r="VI11" s="90">
        <f t="shared" si="339"/>
        <v>0</v>
      </c>
      <c r="VJ11" s="90">
        <f t="shared" si="340"/>
        <v>0</v>
      </c>
      <c r="VK11" s="90">
        <f t="shared" si="341"/>
        <v>0</v>
      </c>
      <c r="VL11" s="90">
        <f t="shared" si="342"/>
        <v>3.64</v>
      </c>
      <c r="VM11" s="90">
        <f t="shared" si="343"/>
        <v>7.26</v>
      </c>
      <c r="VN11" s="90">
        <f t="shared" si="344"/>
        <v>0</v>
      </c>
      <c r="VO11" s="90">
        <f t="shared" si="345"/>
        <v>7.26</v>
      </c>
      <c r="VP11" s="97">
        <v>3.3</v>
      </c>
      <c r="VQ11" s="97">
        <v>7.26</v>
      </c>
      <c r="VR11" s="90">
        <f t="shared" si="346"/>
        <v>0.44</v>
      </c>
      <c r="VS11" s="90">
        <f t="shared" si="347"/>
        <v>0.15</v>
      </c>
      <c r="VT11" s="90">
        <v>0.11989898989898991</v>
      </c>
      <c r="VU11" s="90">
        <f t="shared" si="348"/>
        <v>0.15410000000000001</v>
      </c>
      <c r="VV11" s="90">
        <v>0.38175323599898991</v>
      </c>
      <c r="VW11" s="90">
        <f t="shared" si="349"/>
        <v>0.59</v>
      </c>
      <c r="VX11" s="90">
        <f t="shared" si="350"/>
        <v>15.41</v>
      </c>
      <c r="VY11" s="90">
        <f t="shared" si="351"/>
        <v>15.41</v>
      </c>
      <c r="VZ11" s="90">
        <f t="shared" si="352"/>
        <v>0</v>
      </c>
      <c r="WA11" s="90"/>
      <c r="WB11" s="90">
        <f t="shared" si="353"/>
        <v>15.41</v>
      </c>
      <c r="WC11" s="90">
        <f t="shared" si="354"/>
        <v>0</v>
      </c>
      <c r="WD11" s="90"/>
      <c r="WE11" s="90">
        <v>15.41</v>
      </c>
      <c r="WF11" s="90"/>
      <c r="WG11" s="90">
        <f t="shared" si="355"/>
        <v>1410.0150000000001</v>
      </c>
      <c r="WH11" s="90">
        <f t="shared" si="356"/>
        <v>1410.0150000000001</v>
      </c>
      <c r="WI11" s="90">
        <f t="shared" si="357"/>
        <v>1410.82</v>
      </c>
      <c r="WJ11" s="90">
        <f t="shared" si="358"/>
        <v>746.53</v>
      </c>
      <c r="WK11" s="97">
        <v>664.29</v>
      </c>
      <c r="WL11" s="97">
        <v>7.26</v>
      </c>
      <c r="WM11" s="90">
        <f t="shared" si="359"/>
        <v>664.29</v>
      </c>
      <c r="WN11" s="90">
        <f t="shared" si="360"/>
        <v>7.26</v>
      </c>
      <c r="WO11" s="90"/>
      <c r="WP11" s="97">
        <v>15.41</v>
      </c>
      <c r="WQ11" s="90">
        <f t="shared" si="361"/>
        <v>15.41</v>
      </c>
      <c r="WR11" s="91">
        <f t="shared" si="362"/>
        <v>105.69272976680386</v>
      </c>
      <c r="WS11" s="91">
        <f t="shared" si="363"/>
        <v>136.61347517730496</v>
      </c>
      <c r="WT11" s="90">
        <f t="shared" si="364"/>
        <v>1410.02</v>
      </c>
      <c r="WU11" s="90">
        <f t="shared" si="365"/>
        <v>1410.82</v>
      </c>
      <c r="WV11" s="90">
        <f t="shared" si="366"/>
        <v>-0.79999999999995453</v>
      </c>
      <c r="WW11" s="90"/>
      <c r="WX11" s="90"/>
      <c r="WY11" s="90"/>
      <c r="WZ11" s="90">
        <f t="shared" si="367"/>
        <v>7.2320434343434341</v>
      </c>
      <c r="XA11" s="90">
        <v>3.3</v>
      </c>
      <c r="XB11" s="90">
        <f t="shared" si="368"/>
        <v>10.532043434343434</v>
      </c>
      <c r="XC11" s="90">
        <f t="shared" si="369"/>
        <v>0.46229999999999999</v>
      </c>
      <c r="XD11" s="90">
        <f t="shared" si="370"/>
        <v>0.15565656565656566</v>
      </c>
      <c r="XE11" s="90"/>
      <c r="XF11" s="90">
        <f t="shared" si="371"/>
        <v>15.41</v>
      </c>
      <c r="XG11" s="90">
        <v>7.0437513661202189</v>
      </c>
      <c r="XH11" s="20">
        <v>11.28</v>
      </c>
      <c r="XI11" s="20">
        <v>3.3</v>
      </c>
      <c r="XJ11" s="20"/>
      <c r="XK11" s="20"/>
      <c r="XL11" s="20"/>
      <c r="XM11" s="20">
        <f t="shared" si="372"/>
        <v>14.579999999999998</v>
      </c>
      <c r="XN11" s="91">
        <f t="shared" si="373"/>
        <v>105.69272976680386</v>
      </c>
      <c r="XO11" s="20">
        <f t="shared" si="374"/>
        <v>11.28</v>
      </c>
      <c r="XP11" s="90">
        <f t="shared" si="375"/>
        <v>11.28</v>
      </c>
      <c r="XQ11" s="91">
        <f t="shared" si="376"/>
        <v>136.61347517730496</v>
      </c>
      <c r="XR11" s="102"/>
      <c r="XS11" s="90">
        <f t="shared" si="377"/>
        <v>3.64</v>
      </c>
      <c r="XT11" s="90">
        <f t="shared" si="378"/>
        <v>3.92</v>
      </c>
      <c r="XU11" s="90">
        <f t="shared" si="379"/>
        <v>3.92</v>
      </c>
      <c r="XV11" s="90">
        <f t="shared" si="380"/>
        <v>0</v>
      </c>
      <c r="XW11" s="90">
        <f t="shared" si="381"/>
        <v>0</v>
      </c>
      <c r="XX11" s="90">
        <f t="shared" si="382"/>
        <v>0</v>
      </c>
      <c r="XY11" s="90">
        <f t="shared" si="383"/>
        <v>0</v>
      </c>
      <c r="XZ11" s="90">
        <f t="shared" si="384"/>
        <v>0</v>
      </c>
      <c r="YA11" s="90">
        <f t="shared" si="385"/>
        <v>0</v>
      </c>
      <c r="YB11" s="90">
        <f t="shared" si="386"/>
        <v>0</v>
      </c>
      <c r="YC11" s="90">
        <f t="shared" si="386"/>
        <v>0</v>
      </c>
      <c r="YD11" s="90">
        <f t="shared" si="387"/>
        <v>0</v>
      </c>
      <c r="YE11" s="90">
        <f t="shared" si="388"/>
        <v>7.26</v>
      </c>
      <c r="YF11" s="90">
        <f t="shared" si="389"/>
        <v>0.59</v>
      </c>
      <c r="YG11" s="90">
        <f t="shared" si="390"/>
        <v>15.41</v>
      </c>
      <c r="YI11" s="103" t="s">
        <v>442</v>
      </c>
      <c r="YK11" s="90">
        <f t="shared" si="391"/>
        <v>1.07</v>
      </c>
      <c r="YL11" s="90">
        <f t="shared" si="392"/>
        <v>0</v>
      </c>
      <c r="YM11" s="90">
        <f t="shared" si="392"/>
        <v>0</v>
      </c>
      <c r="YN11" s="90">
        <f t="shared" si="393"/>
        <v>3.64</v>
      </c>
      <c r="YO11" s="90">
        <f t="shared" si="394"/>
        <v>10.7</v>
      </c>
      <c r="YP11" s="90">
        <f t="shared" si="395"/>
        <v>0</v>
      </c>
      <c r="YQ11" s="90">
        <f t="shared" si="396"/>
        <v>15.41</v>
      </c>
      <c r="YR11" s="90">
        <f t="shared" si="397"/>
        <v>0</v>
      </c>
      <c r="YS11" s="104">
        <f t="shared" si="398"/>
        <v>15.41</v>
      </c>
      <c r="YT11" s="104">
        <f t="shared" si="399"/>
        <v>0</v>
      </c>
      <c r="YY11" s="90">
        <f t="shared" si="400"/>
        <v>8.75</v>
      </c>
      <c r="YZ11" s="90">
        <f t="shared" si="401"/>
        <v>4.18</v>
      </c>
      <c r="ZA11" s="90">
        <f t="shared" si="402"/>
        <v>0</v>
      </c>
      <c r="ZB11" s="90">
        <f t="shared" si="403"/>
        <v>4.57</v>
      </c>
      <c r="ZC11" s="90">
        <f t="shared" si="404"/>
        <v>0</v>
      </c>
      <c r="ZD11" s="90">
        <f t="shared" si="405"/>
        <v>0</v>
      </c>
      <c r="ZE11" s="90">
        <f t="shared" si="406"/>
        <v>0</v>
      </c>
      <c r="ZF11" s="90">
        <f t="shared" si="407"/>
        <v>0</v>
      </c>
      <c r="ZG11" s="90">
        <f t="shared" si="408"/>
        <v>0</v>
      </c>
      <c r="ZH11" s="90">
        <f t="shared" si="409"/>
        <v>0</v>
      </c>
      <c r="ZI11" s="90">
        <f t="shared" si="410"/>
        <v>0</v>
      </c>
      <c r="ZJ11" s="90">
        <f t="shared" si="411"/>
        <v>0</v>
      </c>
      <c r="ZK11" s="90">
        <f t="shared" si="412"/>
        <v>0</v>
      </c>
      <c r="ZL11" s="90">
        <f t="shared" si="413"/>
        <v>0.13</v>
      </c>
      <c r="ZM11" s="90">
        <f t="shared" si="414"/>
        <v>4.1100000000000003</v>
      </c>
      <c r="ZN11" s="90">
        <f t="shared" si="415"/>
        <v>12.57</v>
      </c>
      <c r="ZO11" s="90">
        <f t="shared" si="416"/>
        <v>7.26</v>
      </c>
      <c r="ZP11" s="90">
        <f t="shared" si="417"/>
        <v>8</v>
      </c>
      <c r="ZQ11" s="90">
        <f t="shared" si="418"/>
        <v>0</v>
      </c>
      <c r="ZR11" s="90">
        <f t="shared" si="419"/>
        <v>8</v>
      </c>
      <c r="ZS11" s="97">
        <v>227</v>
      </c>
      <c r="ZT11" s="97">
        <v>230.38</v>
      </c>
      <c r="ZU11" s="90">
        <f t="shared" si="420"/>
        <v>0.64</v>
      </c>
      <c r="ZV11" s="90">
        <f t="shared" si="421"/>
        <v>0.22</v>
      </c>
      <c r="ZW11" s="90">
        <v>0.11989898989898991</v>
      </c>
      <c r="ZX11" s="90">
        <f t="shared" si="422"/>
        <v>0.2172</v>
      </c>
      <c r="ZY11" s="90">
        <v>0.38175323599898991</v>
      </c>
      <c r="ZZ11" s="90">
        <f t="shared" si="423"/>
        <v>0.86</v>
      </c>
      <c r="AAA11" s="90">
        <f t="shared" si="424"/>
        <v>21.72</v>
      </c>
      <c r="AAB11" s="90">
        <f t="shared" si="425"/>
        <v>21.72</v>
      </c>
      <c r="AAC11" s="90">
        <f t="shared" si="426"/>
        <v>0</v>
      </c>
      <c r="AAD11" s="90"/>
      <c r="AAE11" s="90">
        <f t="shared" si="427"/>
        <v>21.72</v>
      </c>
      <c r="AAF11" s="90">
        <v>15.41</v>
      </c>
      <c r="AAG11" s="90">
        <f t="shared" si="428"/>
        <v>140.94743672939649</v>
      </c>
      <c r="AAH11" s="90">
        <f t="shared" si="429"/>
        <v>0</v>
      </c>
      <c r="AAI11" s="90">
        <v>0</v>
      </c>
      <c r="AAJ11" s="90"/>
      <c r="AAK11" s="1">
        <v>16</v>
      </c>
      <c r="AAL11" s="104">
        <f t="shared" si="430"/>
        <v>5.7199999999999989</v>
      </c>
      <c r="AAM11" s="103" t="s">
        <v>440</v>
      </c>
      <c r="AAN11" s="105">
        <v>4.21</v>
      </c>
      <c r="AAO11" s="90">
        <f t="shared" si="431"/>
        <v>9.2100000000000009</v>
      </c>
      <c r="AAP11" s="90">
        <v>4.21</v>
      </c>
      <c r="AAQ11" s="90">
        <f t="shared" si="432"/>
        <v>4.18</v>
      </c>
      <c r="AAR11" s="90">
        <v>0</v>
      </c>
      <c r="AAS11" s="90">
        <f t="shared" si="433"/>
        <v>0</v>
      </c>
      <c r="AAT11" s="90"/>
      <c r="AAU11" s="90">
        <v>0</v>
      </c>
      <c r="AAV11" s="90">
        <f t="shared" si="434"/>
        <v>4.57</v>
      </c>
      <c r="AAW11" s="90"/>
      <c r="AAX11" s="90">
        <f t="shared" si="436"/>
        <v>0.46</v>
      </c>
      <c r="AAY11" s="90">
        <f t="shared" si="437"/>
        <v>0</v>
      </c>
      <c r="AAZ11" s="90">
        <f t="shared" si="438"/>
        <v>0</v>
      </c>
      <c r="ABA11" s="90">
        <f t="shared" si="439"/>
        <v>0</v>
      </c>
      <c r="ABB11" s="90">
        <f t="shared" si="440"/>
        <v>0</v>
      </c>
      <c r="ABC11" s="90">
        <v>0</v>
      </c>
      <c r="ABD11" s="90">
        <f t="shared" si="441"/>
        <v>0</v>
      </c>
      <c r="ABE11" s="90"/>
      <c r="ABF11" s="90">
        <v>0</v>
      </c>
      <c r="ABG11" s="90">
        <f t="shared" si="442"/>
        <v>0</v>
      </c>
      <c r="ABH11" s="90"/>
      <c r="ABI11" s="90">
        <f t="shared" si="443"/>
        <v>0</v>
      </c>
      <c r="ABJ11" s="90">
        <f t="shared" si="444"/>
        <v>0</v>
      </c>
      <c r="ABK11" s="90">
        <v>0</v>
      </c>
      <c r="ABL11" s="90">
        <f t="shared" si="445"/>
        <v>0</v>
      </c>
      <c r="ABM11" s="90">
        <f t="shared" si="446"/>
        <v>0</v>
      </c>
      <c r="ABN11" s="90">
        <f t="shared" si="447"/>
        <v>0.02</v>
      </c>
      <c r="ABO11" s="90">
        <v>3.91</v>
      </c>
      <c r="ABP11" s="90">
        <f t="shared" si="448"/>
        <v>4.1100000000000003</v>
      </c>
      <c r="ABQ11" s="90">
        <f t="shared" si="449"/>
        <v>105.1150895140665</v>
      </c>
      <c r="ABR11" s="90">
        <f t="shared" si="450"/>
        <v>12.57</v>
      </c>
      <c r="ABS11" s="90">
        <f t="shared" si="451"/>
        <v>7.26</v>
      </c>
      <c r="ABT11" s="90">
        <v>7.26</v>
      </c>
      <c r="ABU11" s="90">
        <f t="shared" si="452"/>
        <v>8</v>
      </c>
      <c r="ABV11" s="90">
        <f t="shared" si="453"/>
        <v>110.19283746556474</v>
      </c>
      <c r="ABW11" s="90">
        <f t="shared" si="454"/>
        <v>0.03</v>
      </c>
      <c r="ABX11" s="90">
        <f t="shared" si="455"/>
        <v>8.0299999999999994</v>
      </c>
      <c r="ABY11" s="97">
        <v>227</v>
      </c>
      <c r="ABZ11" s="97">
        <v>230.38</v>
      </c>
      <c r="ACA11" s="90">
        <f t="shared" si="456"/>
        <v>0.64</v>
      </c>
      <c r="ACB11" s="90">
        <f t="shared" si="457"/>
        <v>0.22</v>
      </c>
      <c r="ACC11" s="90">
        <v>0.11989898989898991</v>
      </c>
      <c r="ACD11" s="90">
        <f t="shared" si="458"/>
        <v>0.2175</v>
      </c>
      <c r="ACE11" s="90">
        <v>0.38175323599898991</v>
      </c>
      <c r="ACF11" s="90">
        <v>0.62</v>
      </c>
      <c r="ACG11" s="90">
        <f t="shared" si="459"/>
        <v>0.86</v>
      </c>
      <c r="ACH11" s="90">
        <f t="shared" si="460"/>
        <v>138.70967741935482</v>
      </c>
      <c r="ACI11" s="90">
        <f t="shared" si="461"/>
        <v>22.18</v>
      </c>
      <c r="ACJ11" s="90">
        <f t="shared" si="462"/>
        <v>21.75</v>
      </c>
      <c r="ACK11" s="90">
        <f t="shared" si="463"/>
        <v>-0.42999999999999972</v>
      </c>
      <c r="ACL11" s="90"/>
      <c r="ACM11" s="90">
        <f t="shared" si="464"/>
        <v>22.18</v>
      </c>
      <c r="ACN11" s="90">
        <f t="shared" si="465"/>
        <v>0</v>
      </c>
      <c r="ACO11" s="90">
        <f t="shared" si="466"/>
        <v>22.18</v>
      </c>
      <c r="ACP11" s="90">
        <v>16</v>
      </c>
      <c r="ACQ11" s="90">
        <f t="shared" si="467"/>
        <v>138.625</v>
      </c>
      <c r="ACR11" s="90">
        <f t="shared" si="468"/>
        <v>0</v>
      </c>
      <c r="ACS11" s="90">
        <v>0</v>
      </c>
      <c r="ACT11" s="90"/>
      <c r="ACU11" s="90">
        <f t="shared" si="469"/>
        <v>16.815999999999999</v>
      </c>
      <c r="ACV11" s="90">
        <f t="shared" si="470"/>
        <v>-5.3640000000000008</v>
      </c>
      <c r="ACX11" s="106" t="s">
        <v>440</v>
      </c>
      <c r="ACY11" s="107"/>
      <c r="ACZ11" s="107"/>
      <c r="ADB11" s="90">
        <f t="shared" si="471"/>
        <v>4.1100000000000003</v>
      </c>
      <c r="ADC11" s="90">
        <f t="shared" si="472"/>
        <v>9.2100000000000009</v>
      </c>
      <c r="ADD11" s="90">
        <f t="shared" si="473"/>
        <v>4.18</v>
      </c>
      <c r="ADE11" s="90">
        <f t="shared" si="474"/>
        <v>0.46</v>
      </c>
      <c r="ADF11" s="90">
        <f t="shared" si="475"/>
        <v>0</v>
      </c>
      <c r="ADG11" s="90">
        <f t="shared" si="476"/>
        <v>0.46</v>
      </c>
      <c r="ADH11" s="90">
        <f t="shared" si="476"/>
        <v>0</v>
      </c>
      <c r="ADI11" s="90">
        <f t="shared" si="476"/>
        <v>0</v>
      </c>
      <c r="ADJ11" s="90">
        <f t="shared" si="477"/>
        <v>4.57</v>
      </c>
      <c r="ADK11" s="90">
        <f t="shared" si="478"/>
        <v>0</v>
      </c>
      <c r="ADL11" s="90">
        <f t="shared" si="479"/>
        <v>0</v>
      </c>
      <c r="ADM11" s="90">
        <f t="shared" si="480"/>
        <v>0</v>
      </c>
      <c r="ADN11" s="90">
        <f t="shared" si="480"/>
        <v>0</v>
      </c>
      <c r="ADO11" s="90">
        <f t="shared" si="481"/>
        <v>4.57</v>
      </c>
      <c r="ADP11" s="90">
        <f t="shared" si="482"/>
        <v>8</v>
      </c>
      <c r="ADQ11" s="90">
        <f t="shared" si="483"/>
        <v>0.86</v>
      </c>
      <c r="ADR11" s="90">
        <f t="shared" si="484"/>
        <v>22.18</v>
      </c>
      <c r="ADU11" s="90">
        <f t="shared" si="485"/>
        <v>1.1499999999999999</v>
      </c>
      <c r="ADV11" s="90">
        <f t="shared" si="486"/>
        <v>0</v>
      </c>
      <c r="ADW11" s="90">
        <f t="shared" si="487"/>
        <v>4.57</v>
      </c>
      <c r="ADX11" s="90">
        <f t="shared" si="488"/>
        <v>4.1100000000000003</v>
      </c>
      <c r="ADY11" s="90">
        <f t="shared" si="489"/>
        <v>11.889999999999999</v>
      </c>
      <c r="ADZ11" s="90">
        <f t="shared" si="490"/>
        <v>0</v>
      </c>
      <c r="AEA11" s="90">
        <f t="shared" si="491"/>
        <v>22.18</v>
      </c>
      <c r="AEB11" s="90">
        <f t="shared" si="492"/>
        <v>0</v>
      </c>
      <c r="AEC11" s="104">
        <f t="shared" si="493"/>
        <v>21.72</v>
      </c>
      <c r="AED11" s="104">
        <f t="shared" si="494"/>
        <v>0.46000000000000085</v>
      </c>
      <c r="AEG11" s="1">
        <v>4.21</v>
      </c>
      <c r="AEH11" s="1">
        <v>4.21</v>
      </c>
      <c r="AEI11" s="1">
        <v>0</v>
      </c>
      <c r="AEJ11" s="1">
        <v>0</v>
      </c>
      <c r="AEK11" s="1">
        <v>0</v>
      </c>
      <c r="AEL11" s="1">
        <v>0</v>
      </c>
      <c r="AEM11" s="1">
        <v>0</v>
      </c>
      <c r="AEN11" s="1">
        <v>0</v>
      </c>
      <c r="AEO11" s="1">
        <v>0</v>
      </c>
      <c r="AEP11" s="1">
        <v>0</v>
      </c>
      <c r="AEQ11" s="1">
        <v>0</v>
      </c>
      <c r="AER11" s="1">
        <v>0</v>
      </c>
      <c r="AES11" s="1">
        <v>0</v>
      </c>
      <c r="AET11" s="1">
        <v>0</v>
      </c>
      <c r="AEU11" s="1">
        <v>0</v>
      </c>
      <c r="AEV11" s="1">
        <v>0.02</v>
      </c>
      <c r="AEW11" s="1">
        <v>3.91</v>
      </c>
      <c r="AEX11" s="1">
        <v>7.26</v>
      </c>
      <c r="AEY11" s="1">
        <v>7.26</v>
      </c>
      <c r="AEZ11" s="1">
        <v>7.26</v>
      </c>
      <c r="AFA11" s="1">
        <v>0.03</v>
      </c>
      <c r="AFB11" s="1">
        <v>7.29</v>
      </c>
      <c r="AFC11" s="1">
        <v>227</v>
      </c>
      <c r="AFD11" s="1">
        <v>230.38</v>
      </c>
      <c r="AFE11" s="1">
        <v>0.46</v>
      </c>
      <c r="AFF11" s="1">
        <v>0.16</v>
      </c>
      <c r="AFG11" s="1">
        <v>0.11989898989898991</v>
      </c>
      <c r="AFH11" s="1">
        <v>0.16030000000000003</v>
      </c>
      <c r="AFI11" s="1">
        <v>0.38175323599898991</v>
      </c>
      <c r="AFJ11" s="1">
        <v>0.62</v>
      </c>
      <c r="AFK11" s="1">
        <v>16</v>
      </c>
      <c r="AFL11" s="1">
        <v>16.03</v>
      </c>
      <c r="AFM11" s="1">
        <v>3.0000000000001137E-2</v>
      </c>
      <c r="AFO11" s="1">
        <v>16</v>
      </c>
      <c r="AFP11" s="1">
        <v>0</v>
      </c>
      <c r="AFQ11" s="1">
        <v>16</v>
      </c>
      <c r="AFX11" s="1">
        <v>40.6</v>
      </c>
    </row>
    <row r="12" spans="1:856" s="1" customFormat="1" ht="63.75" customHeight="1">
      <c r="A12" s="88">
        <v>3</v>
      </c>
      <c r="B12" s="20" t="s">
        <v>574</v>
      </c>
      <c r="C12" s="89" t="s">
        <v>579</v>
      </c>
      <c r="D12" s="20" t="s">
        <v>574</v>
      </c>
      <c r="E12" s="20" t="s">
        <v>437</v>
      </c>
      <c r="F12" s="20" t="s">
        <v>438</v>
      </c>
      <c r="G12" s="20">
        <v>0.8</v>
      </c>
      <c r="H12" s="20">
        <v>90</v>
      </c>
      <c r="I12" s="20">
        <f>90-3.9</f>
        <v>86.1</v>
      </c>
      <c r="J12" s="20">
        <f t="shared" si="0"/>
        <v>68.88</v>
      </c>
      <c r="K12" s="20">
        <v>2</v>
      </c>
      <c r="L12" s="20"/>
      <c r="M12" s="20"/>
      <c r="N12" s="20"/>
      <c r="O12" s="90">
        <f t="shared" si="1"/>
        <v>0</v>
      </c>
      <c r="P12" s="20"/>
      <c r="Q12" s="20"/>
      <c r="R12" s="90">
        <f t="shared" si="2"/>
        <v>0</v>
      </c>
      <c r="S12" s="20"/>
      <c r="T12" s="20">
        <v>2.6</v>
      </c>
      <c r="U12" s="20">
        <v>3.13</v>
      </c>
      <c r="V12" s="91">
        <f t="shared" si="3"/>
        <v>0</v>
      </c>
      <c r="W12" s="20">
        <v>2.1000000000000001E-2</v>
      </c>
      <c r="X12" s="20">
        <f t="shared" si="4"/>
        <v>33.42</v>
      </c>
      <c r="Y12" s="91">
        <f t="shared" si="5"/>
        <v>0</v>
      </c>
      <c r="Z12" s="20"/>
      <c r="AA12" s="20"/>
      <c r="AB12" s="20"/>
      <c r="AC12" s="91">
        <f t="shared" si="6"/>
        <v>0</v>
      </c>
      <c r="AD12" s="90">
        <f t="shared" si="7"/>
        <v>0</v>
      </c>
      <c r="AE12" s="92">
        <f t="shared" si="8"/>
        <v>0</v>
      </c>
      <c r="AF12" s="20">
        <v>6</v>
      </c>
      <c r="AG12" s="20">
        <v>6</v>
      </c>
      <c r="AH12" s="20">
        <v>6</v>
      </c>
      <c r="AI12" s="20"/>
      <c r="AJ12" s="20">
        <v>1.6</v>
      </c>
      <c r="AK12" s="90">
        <f t="shared" si="9"/>
        <v>0.8</v>
      </c>
      <c r="AL12" s="90">
        <v>391.01</v>
      </c>
      <c r="AM12" s="90">
        <f t="shared" si="10"/>
        <v>312.81</v>
      </c>
      <c r="AN12" s="20"/>
      <c r="AO12" s="20"/>
      <c r="AP12" s="20">
        <v>6</v>
      </c>
      <c r="AQ12" s="20"/>
      <c r="AR12" s="20"/>
      <c r="AS12" s="20"/>
      <c r="AT12" s="20">
        <f t="shared" si="11"/>
        <v>0</v>
      </c>
      <c r="AU12" s="20">
        <v>1.6</v>
      </c>
      <c r="AV12" s="90">
        <f t="shared" si="12"/>
        <v>0.8</v>
      </c>
      <c r="AW12" s="90">
        <f t="shared" si="13"/>
        <v>188.88</v>
      </c>
      <c r="AX12" s="90">
        <v>0</v>
      </c>
      <c r="AY12" s="90">
        <f t="shared" si="14"/>
        <v>0</v>
      </c>
      <c r="AZ12" s="90">
        <f t="shared" si="15"/>
        <v>312.81</v>
      </c>
      <c r="BA12" s="90">
        <f t="shared" si="16"/>
        <v>-312.81</v>
      </c>
      <c r="BB12" s="90">
        <v>0</v>
      </c>
      <c r="BC12" s="90">
        <v>0</v>
      </c>
      <c r="BD12" s="92">
        <f t="shared" si="17"/>
        <v>0</v>
      </c>
      <c r="BE12" s="90"/>
      <c r="BF12" s="90">
        <f t="shared" si="18"/>
        <v>0</v>
      </c>
      <c r="BG12" s="90">
        <v>391.01</v>
      </c>
      <c r="BH12" s="90">
        <f t="shared" si="19"/>
        <v>312.81</v>
      </c>
      <c r="BI12" s="90">
        <f t="shared" si="20"/>
        <v>3.63</v>
      </c>
      <c r="BJ12" s="90"/>
      <c r="BK12" s="90">
        <f t="shared" si="22"/>
        <v>312.81</v>
      </c>
      <c r="BL12" s="90">
        <f t="shared" si="23"/>
        <v>3.63</v>
      </c>
      <c r="BM12" s="90"/>
      <c r="BN12" s="90">
        <f t="shared" si="24"/>
        <v>0</v>
      </c>
      <c r="BO12" s="90">
        <f t="shared" si="25"/>
        <v>312.81</v>
      </c>
      <c r="BP12" s="90">
        <f t="shared" si="26"/>
        <v>3.6331010452961676</v>
      </c>
      <c r="BQ12" s="90"/>
      <c r="BR12" s="90">
        <f t="shared" si="27"/>
        <v>0</v>
      </c>
      <c r="BS12" s="90">
        <f t="shared" si="28"/>
        <v>312.81</v>
      </c>
      <c r="BT12" s="90">
        <f t="shared" si="29"/>
        <v>3.6331010452961676</v>
      </c>
      <c r="BU12" s="90"/>
      <c r="BV12" s="93">
        <v>0.82054380000000005</v>
      </c>
      <c r="BW12" s="90">
        <f t="shared" si="30"/>
        <v>70.648821179999999</v>
      </c>
      <c r="BX12" s="90">
        <f t="shared" si="31"/>
        <v>74.887750450799999</v>
      </c>
      <c r="BY12" s="90"/>
      <c r="BZ12" s="90"/>
      <c r="CA12" s="90"/>
      <c r="CB12" s="90">
        <v>22.823388000000001</v>
      </c>
      <c r="CC12" s="90">
        <v>0.71072749999999996</v>
      </c>
      <c r="CD12" s="90">
        <f t="shared" si="32"/>
        <v>16.221209494770001</v>
      </c>
      <c r="CE12" s="90">
        <f t="shared" si="33"/>
        <v>24.528732313263365</v>
      </c>
      <c r="CF12" s="90">
        <v>23.945932100685436</v>
      </c>
      <c r="CG12" s="90">
        <v>23.945932100685436</v>
      </c>
      <c r="CH12" s="90">
        <f t="shared" si="34"/>
        <v>25.1</v>
      </c>
      <c r="CI12" s="90">
        <f>CH12/($SP12-$HL12)*($SX12-$HN12)</f>
        <v>26.339006585699622</v>
      </c>
      <c r="CJ12" s="90">
        <f t="shared" si="35"/>
        <v>26.48</v>
      </c>
      <c r="CK12" s="90">
        <f t="shared" si="36"/>
        <v>28.002429011289784</v>
      </c>
      <c r="CL12" s="90">
        <f t="shared" si="37"/>
        <v>28.002429011289784</v>
      </c>
      <c r="CM12" s="94">
        <v>0.14899999999999999</v>
      </c>
      <c r="CN12" s="90">
        <f t="shared" si="38"/>
        <v>10.526674355819999</v>
      </c>
      <c r="CO12" s="90">
        <f t="shared" si="39"/>
        <v>11.1582748171692</v>
      </c>
      <c r="CP12" s="90"/>
      <c r="CQ12" s="90"/>
      <c r="CR12" s="90">
        <v>3.4043485392000004</v>
      </c>
      <c r="CS12" s="90">
        <v>0.71072749999999996</v>
      </c>
      <c r="CT12" s="90">
        <f t="shared" si="40"/>
        <v>2.4195641263942682</v>
      </c>
      <c r="CU12" s="90">
        <f t="shared" si="41"/>
        <v>3.6587185924844277</v>
      </c>
      <c r="CV12" s="90">
        <v>7.3999696310069645</v>
      </c>
      <c r="CW12" s="90">
        <f t="shared" si="42"/>
        <v>7.76</v>
      </c>
      <c r="CX12" s="90">
        <f>CW12/($SP12-$HL12)*($SX12-$HN12)</f>
        <v>8.1430554225111162</v>
      </c>
      <c r="CY12" s="90">
        <f t="shared" si="43"/>
        <v>8.19</v>
      </c>
      <c r="CZ12" s="90">
        <f t="shared" si="44"/>
        <v>8.6573246664385923</v>
      </c>
      <c r="DA12" s="90">
        <f t="shared" si="45"/>
        <v>8.6573246664385923</v>
      </c>
      <c r="DB12" s="93">
        <v>0.80939899999999998</v>
      </c>
      <c r="DC12" s="90">
        <f t="shared" si="46"/>
        <v>69.689253899999997</v>
      </c>
      <c r="DD12" s="90">
        <f t="shared" si="47"/>
        <v>73.870609134000006</v>
      </c>
      <c r="DE12" s="90"/>
      <c r="DF12" s="90"/>
      <c r="DG12" s="90"/>
      <c r="DH12" s="90">
        <v>14.002443000000001</v>
      </c>
      <c r="DI12" s="90">
        <v>0.71072749999999996</v>
      </c>
      <c r="DJ12" s="90">
        <f t="shared" si="48"/>
        <v>9.9519213072825004</v>
      </c>
      <c r="DK12" s="90">
        <f t="shared" si="49"/>
        <v>15.048693738139509</v>
      </c>
      <c r="DL12" s="90">
        <v>11.904887999420124</v>
      </c>
      <c r="DM12" s="90">
        <f t="shared" si="50"/>
        <v>12.48</v>
      </c>
      <c r="DN12" s="90">
        <f>DM12/($SP12-$HL12)*($SX12-$HN12)</f>
        <v>13.096047895997261</v>
      </c>
      <c r="DO12" s="90">
        <f t="shared" si="51"/>
        <v>13.17</v>
      </c>
      <c r="DP12" s="90">
        <f t="shared" si="52"/>
        <v>13.923120082107429</v>
      </c>
      <c r="DQ12" s="90">
        <f t="shared" si="53"/>
        <v>13.923120082107429</v>
      </c>
      <c r="DR12" s="93">
        <v>3.1841000000000001E-2</v>
      </c>
      <c r="DS12" s="90">
        <f t="shared" si="54"/>
        <v>2.7415100999999997</v>
      </c>
      <c r="DT12" s="90">
        <f t="shared" si="55"/>
        <v>2.9060007059999999</v>
      </c>
      <c r="DU12" s="90"/>
      <c r="DV12" s="90"/>
      <c r="DW12" s="90">
        <v>0.52956240321600001</v>
      </c>
      <c r="DX12" s="90">
        <v>0.71072749999999996</v>
      </c>
      <c r="DY12" s="90">
        <f t="shared" si="56"/>
        <v>0.37637456293169963</v>
      </c>
      <c r="DZ12" s="90">
        <f t="shared" si="57"/>
        <v>0.56913085961005005</v>
      </c>
      <c r="EA12" s="90">
        <f t="shared" si="58"/>
        <v>0.6</v>
      </c>
      <c r="EB12" s="90">
        <f>EA12/($SP12-$HL12)*($SX12-$HN12)</f>
        <v>0.62961768730756051</v>
      </c>
      <c r="EC12" s="90">
        <f t="shared" si="59"/>
        <v>0.63</v>
      </c>
      <c r="ED12" s="90">
        <f t="shared" si="60"/>
        <v>0.66938077317824174</v>
      </c>
      <c r="EE12" s="90">
        <f t="shared" si="61"/>
        <v>0.66938077317824174</v>
      </c>
      <c r="EF12" s="94">
        <v>0.85293354333000004</v>
      </c>
      <c r="EG12" s="90">
        <f t="shared" si="62"/>
        <v>58.750062464570398</v>
      </c>
      <c r="EH12" s="90">
        <f t="shared" si="63"/>
        <v>62.275066212444628</v>
      </c>
      <c r="EI12" s="90"/>
      <c r="EJ12" s="90"/>
      <c r="EK12" s="90">
        <v>40.615918559999997</v>
      </c>
      <c r="EL12" s="90">
        <v>0.71072749999999996</v>
      </c>
      <c r="EM12" s="90">
        <f t="shared" si="65"/>
        <v>28.866850258352397</v>
      </c>
      <c r="EN12" s="90">
        <f t="shared" si="66"/>
        <v>43.650705759177605</v>
      </c>
      <c r="EO12" s="90">
        <v>42.570112815387411</v>
      </c>
      <c r="EP12" s="90">
        <f t="shared" si="67"/>
        <v>44.61</v>
      </c>
      <c r="EQ12" s="90">
        <f>EP12/($SP12-$HL12)*($SX12-$HN12)</f>
        <v>46.81207505131713</v>
      </c>
      <c r="ER12" s="90">
        <f t="shared" si="68"/>
        <v>47.06</v>
      </c>
      <c r="ES12" s="90">
        <f t="shared" si="69"/>
        <v>49.768460485802279</v>
      </c>
      <c r="ET12" s="90">
        <f t="shared" si="70"/>
        <v>49.768460485802279</v>
      </c>
      <c r="EU12" s="94">
        <v>0.14899999999999999</v>
      </c>
      <c r="EV12" s="90">
        <f t="shared" si="71"/>
        <v>8.7537593072209887</v>
      </c>
      <c r="EW12" s="90">
        <f t="shared" si="72"/>
        <v>9.2789848656542482</v>
      </c>
      <c r="EX12" s="90"/>
      <c r="EY12" s="90"/>
      <c r="EZ12" s="90">
        <v>6.054552000000001</v>
      </c>
      <c r="FA12" s="90">
        <v>0.71072749999999996</v>
      </c>
      <c r="FB12" s="90">
        <f t="shared" si="74"/>
        <v>4.3031366065800007</v>
      </c>
      <c r="FC12" s="90">
        <f t="shared" si="75"/>
        <v>6.5069430219883815</v>
      </c>
      <c r="FD12" s="90">
        <v>13.169829804121642</v>
      </c>
      <c r="FE12" s="90">
        <f t="shared" si="76"/>
        <v>13.8</v>
      </c>
      <c r="FF12" s="90">
        <f>FE12/($SP12-$HL12)*($SX12-$HN12)</f>
        <v>14.481206808073894</v>
      </c>
      <c r="FG12" s="90">
        <f t="shared" si="77"/>
        <v>14.56</v>
      </c>
      <c r="FH12" s="90">
        <f t="shared" si="78"/>
        <v>15.39575778309956</v>
      </c>
      <c r="FI12" s="90">
        <f t="shared" si="79"/>
        <v>15.39575778309956</v>
      </c>
      <c r="FJ12" s="93">
        <v>0.49981642240000002</v>
      </c>
      <c r="FK12" s="90">
        <f t="shared" si="80"/>
        <v>34.427355174912002</v>
      </c>
      <c r="FL12" s="90">
        <f t="shared" si="81"/>
        <v>36.492996485406721</v>
      </c>
      <c r="FM12" s="90"/>
      <c r="FN12" s="90"/>
      <c r="FO12" s="90">
        <v>24.669372000000003</v>
      </c>
      <c r="FP12" s="90">
        <v>0.71072749999999996</v>
      </c>
      <c r="FQ12" s="90">
        <f t="shared" si="83"/>
        <v>17.533201088129999</v>
      </c>
      <c r="FR12" s="90">
        <f t="shared" si="84"/>
        <v>26.512646681742183</v>
      </c>
      <c r="FS12" s="90">
        <v>20.900049837107002</v>
      </c>
      <c r="FT12" s="90">
        <f t="shared" si="85"/>
        <v>21.9</v>
      </c>
      <c r="FU12" s="90">
        <v>20.915707756173884</v>
      </c>
      <c r="FV12" s="90">
        <f t="shared" si="86"/>
        <v>21.92</v>
      </c>
      <c r="FW12" s="90">
        <f>FV12/($SP12-$HL12)*($SX12-$HN12)</f>
        <v>23.002032842969548</v>
      </c>
      <c r="FX12" s="90">
        <f t="shared" si="87"/>
        <v>23.13</v>
      </c>
      <c r="FY12" s="90">
        <f t="shared" si="88"/>
        <v>24.454710913445098</v>
      </c>
      <c r="FZ12" s="90">
        <f t="shared" si="89"/>
        <v>24.454710913445098</v>
      </c>
      <c r="GA12" s="94">
        <v>1.352261642E-2</v>
      </c>
      <c r="GB12" s="90">
        <f t="shared" si="90"/>
        <v>0.93143781900959988</v>
      </c>
      <c r="GC12" s="90">
        <f t="shared" si="91"/>
        <v>0.98732408815017592</v>
      </c>
      <c r="GD12" s="90"/>
      <c r="GE12" s="90"/>
      <c r="GF12" s="90">
        <v>0.74361126</v>
      </c>
      <c r="GG12" s="90">
        <v>0.71072749999999996</v>
      </c>
      <c r="GH12" s="90">
        <f t="shared" si="93"/>
        <v>0.52850497179165001</v>
      </c>
      <c r="GI12" s="90">
        <f t="shared" si="94"/>
        <v>0.79917326654870369</v>
      </c>
      <c r="GJ12" s="90">
        <f t="shared" si="95"/>
        <v>0.84</v>
      </c>
      <c r="GK12" s="90">
        <f>GJ12/($SP12-$HL12)*($SX12-$HN12)</f>
        <v>0.88146476223058479</v>
      </c>
      <c r="GL12" s="90">
        <f t="shared" si="96"/>
        <v>0.89</v>
      </c>
      <c r="GM12" s="90">
        <f t="shared" si="97"/>
        <v>0.9371330824495383</v>
      </c>
      <c r="GN12" s="90">
        <f t="shared" si="98"/>
        <v>0.9371330824495383</v>
      </c>
      <c r="GO12" s="90"/>
      <c r="GP12" s="90">
        <f t="shared" si="99"/>
        <v>0</v>
      </c>
      <c r="GQ12" s="90"/>
      <c r="GR12" s="90">
        <f t="shared" si="100"/>
        <v>0</v>
      </c>
      <c r="GS12" s="90">
        <f t="shared" si="101"/>
        <v>0</v>
      </c>
      <c r="GT12" s="90">
        <f t="shared" si="102"/>
        <v>0</v>
      </c>
      <c r="GU12" s="90"/>
      <c r="GV12" s="90"/>
      <c r="GW12" s="90">
        <f t="shared" si="103"/>
        <v>0</v>
      </c>
      <c r="GX12" s="90">
        <f t="shared" si="104"/>
        <v>0</v>
      </c>
      <c r="GY12" s="90"/>
      <c r="GZ12" s="90"/>
      <c r="HA12" s="90">
        <f t="shared" si="105"/>
        <v>0</v>
      </c>
      <c r="HB12" s="90">
        <f t="shared" si="106"/>
        <v>0</v>
      </c>
      <c r="HC12" s="90"/>
      <c r="HD12" s="90"/>
      <c r="HE12" s="90">
        <f t="shared" si="107"/>
        <v>0</v>
      </c>
      <c r="HF12" s="90">
        <f t="shared" si="108"/>
        <v>0</v>
      </c>
      <c r="HG12" s="90"/>
      <c r="HH12" s="90"/>
      <c r="HI12" s="90">
        <v>0.96</v>
      </c>
      <c r="HJ12" s="90">
        <f t="shared" si="109"/>
        <v>82.655999999999992</v>
      </c>
      <c r="HK12" s="90">
        <f t="shared" si="110"/>
        <v>1.0060394889663185</v>
      </c>
      <c r="HL12" s="90">
        <f t="shared" si="111"/>
        <v>86.62</v>
      </c>
      <c r="HM12" s="90">
        <v>1.07</v>
      </c>
      <c r="HN12" s="90">
        <f t="shared" si="112"/>
        <v>92.126999999999995</v>
      </c>
      <c r="HO12" s="90">
        <v>1.1499999999999999</v>
      </c>
      <c r="HP12" s="90">
        <f t="shared" si="113"/>
        <v>99.02</v>
      </c>
      <c r="HQ12" s="90">
        <v>1.1499999999999999</v>
      </c>
      <c r="HR12" s="90">
        <f t="shared" si="114"/>
        <v>99.02</v>
      </c>
      <c r="HS12" s="90">
        <v>0.96</v>
      </c>
      <c r="HT12" s="90">
        <v>27.484538927999996</v>
      </c>
      <c r="HU12" s="90" t="e">
        <f>HT12*#REF!</f>
        <v>#REF!</v>
      </c>
      <c r="HV12" s="20">
        <v>2.5</v>
      </c>
      <c r="HW12" s="90">
        <v>3.1</v>
      </c>
      <c r="HX12" s="90">
        <f t="shared" si="115"/>
        <v>266.90999999999997</v>
      </c>
      <c r="HY12" s="90">
        <v>1.06</v>
      </c>
      <c r="HZ12" s="90">
        <f t="shared" si="116"/>
        <v>282.9246</v>
      </c>
      <c r="IA12" s="90">
        <f t="shared" si="117"/>
        <v>3.29</v>
      </c>
      <c r="IB12" s="90">
        <f t="shared" si="118"/>
        <v>3.45</v>
      </c>
      <c r="IC12" s="90">
        <f t="shared" si="119"/>
        <v>297.04500000000002</v>
      </c>
      <c r="ID12" s="90">
        <f t="shared" si="120"/>
        <v>3.64</v>
      </c>
      <c r="IE12" s="90">
        <f t="shared" si="121"/>
        <v>313.39999999999998</v>
      </c>
      <c r="IF12" s="90">
        <f t="shared" si="122"/>
        <v>3.64</v>
      </c>
      <c r="IG12" s="92">
        <f t="shared" si="123"/>
        <v>3760.7999999999997</v>
      </c>
      <c r="IH12" s="90">
        <v>3.91</v>
      </c>
      <c r="II12" s="90">
        <f t="shared" si="124"/>
        <v>4.1100000000000003</v>
      </c>
      <c r="IJ12" s="90">
        <f t="shared" si="125"/>
        <v>353.87</v>
      </c>
      <c r="IK12" s="90">
        <f t="shared" si="126"/>
        <v>4.1100000000000003</v>
      </c>
      <c r="IL12" s="90">
        <f t="shared" si="127"/>
        <v>353.87</v>
      </c>
      <c r="IM12" s="90">
        <f t="shared" si="128"/>
        <v>4.1100000000000003</v>
      </c>
      <c r="IN12" s="90">
        <f t="shared" si="129"/>
        <v>353.87</v>
      </c>
      <c r="IO12" s="90">
        <f t="shared" si="130"/>
        <v>4.1100000000000003</v>
      </c>
      <c r="IP12" s="93">
        <v>0.37052404126999999</v>
      </c>
      <c r="IQ12" s="90">
        <f t="shared" si="131"/>
        <v>25.521695962677597</v>
      </c>
      <c r="IR12" s="90">
        <f t="shared" si="132"/>
        <v>27.052997720438256</v>
      </c>
      <c r="IS12" s="90">
        <v>108693.96</v>
      </c>
      <c r="IT12" s="90">
        <v>3053.33</v>
      </c>
      <c r="IU12" s="93">
        <v>2.81E-2</v>
      </c>
      <c r="IV12" s="93"/>
      <c r="IW12" s="93"/>
      <c r="IX12" s="90">
        <v>116.93751263039999</v>
      </c>
      <c r="IY12" s="93">
        <v>0.56339614052999998</v>
      </c>
      <c r="IZ12" s="90">
        <f t="shared" si="134"/>
        <v>48.508407699632997</v>
      </c>
      <c r="JA12" s="90">
        <f t="shared" si="135"/>
        <v>50.84</v>
      </c>
      <c r="JB12" s="90">
        <f>JA12/($SP12-$HL12)*($SX12-$HN12)</f>
        <v>53.349605371193967</v>
      </c>
      <c r="JC12" s="90">
        <f t="shared" si="136"/>
        <v>53.64</v>
      </c>
      <c r="JD12" s="90">
        <f t="shared" si="137"/>
        <v>56.718864180636345</v>
      </c>
      <c r="JE12" s="90">
        <f t="shared" si="138"/>
        <v>56.718864180636345</v>
      </c>
      <c r="JF12" s="93">
        <v>4.2278943710000003E-2</v>
      </c>
      <c r="JG12" s="90">
        <f t="shared" si="139"/>
        <v>2.9121736427448002</v>
      </c>
      <c r="JH12" s="90">
        <f t="shared" si="140"/>
        <v>3.0869040613094882</v>
      </c>
      <c r="JI12" s="20">
        <v>462.98</v>
      </c>
      <c r="JJ12" s="20"/>
      <c r="JK12" s="20"/>
      <c r="JL12" s="90">
        <v>4.172998368</v>
      </c>
      <c r="JM12" s="93">
        <v>6.7347080040000007E-2</v>
      </c>
      <c r="JN12" s="90">
        <f t="shared" si="142"/>
        <v>5.7985835914440003</v>
      </c>
      <c r="JO12" s="90">
        <f t="shared" si="143"/>
        <v>6.08</v>
      </c>
      <c r="JP12" s="90">
        <f>JO12/($SP12-$HL12)*($SX12-$HN12)</f>
        <v>6.3801258980499478</v>
      </c>
      <c r="JQ12" s="90">
        <f t="shared" si="144"/>
        <v>6.41</v>
      </c>
      <c r="JR12" s="90">
        <f t="shared" si="145"/>
        <v>6.7830585015395162</v>
      </c>
      <c r="JS12" s="90">
        <f t="shared" si="146"/>
        <v>6.7830585015395162</v>
      </c>
      <c r="JT12" s="93">
        <v>7.3220517000000002E-3</v>
      </c>
      <c r="JU12" s="90">
        <f t="shared" si="147"/>
        <v>0.50434292109599999</v>
      </c>
      <c r="JV12" s="90">
        <f t="shared" si="148"/>
        <v>0.53</v>
      </c>
      <c r="JW12" s="90">
        <f>JV12/($SP12-$HL12)*($SX12-$HN12)</f>
        <v>0.55616229045501187</v>
      </c>
      <c r="JX12" s="90">
        <f t="shared" si="149"/>
        <v>0.56000000000000005</v>
      </c>
      <c r="JY12" s="90">
        <f t="shared" si="150"/>
        <v>0.5912863496407802</v>
      </c>
      <c r="JZ12" s="90">
        <f t="shared" si="151"/>
        <v>0.5912863496407802</v>
      </c>
      <c r="KA12" s="90"/>
      <c r="KB12" s="90">
        <v>0.57280608</v>
      </c>
      <c r="KC12" s="90" t="e">
        <f>KB12*#REF!</f>
        <v>#REF!</v>
      </c>
      <c r="KD12" s="90">
        <v>16587.36</v>
      </c>
      <c r="KE12" s="90">
        <v>17977.669999999998</v>
      </c>
      <c r="KF12" s="94">
        <v>1.08382</v>
      </c>
      <c r="KG12" s="90">
        <f>I12*KF12</f>
        <v>93.316901999999999</v>
      </c>
      <c r="KH12" s="90" t="e">
        <f>KG12/(BW12+#REF!)*(CB12+#REF!)</f>
        <v>#REF!</v>
      </c>
      <c r="KI12" s="90">
        <v>0.8</v>
      </c>
      <c r="KJ12" s="94"/>
      <c r="KK12" s="90">
        <f t="shared" si="154"/>
        <v>0</v>
      </c>
      <c r="KL12" s="93"/>
      <c r="KM12" s="90">
        <v>95.975680439791219</v>
      </c>
      <c r="KN12" s="90">
        <f t="shared" si="155"/>
        <v>101.73422126617869</v>
      </c>
      <c r="KO12" s="90" t="e">
        <f>BW12+CN12+DC12+DS12+EG12+EV12+FK12+GB12+#REF!+#REF!+HJ12+HX12+IQ12+JG12+JU12+KK12+KM12</f>
        <v>#REF!</v>
      </c>
      <c r="KP12" s="90"/>
      <c r="KQ12" s="90"/>
      <c r="KR12" s="90">
        <v>43.750136525465827</v>
      </c>
      <c r="KS12" s="90">
        <v>0.71072749999999996</v>
      </c>
      <c r="KT12" s="90">
        <f t="shared" si="156"/>
        <v>31.094425157403013</v>
      </c>
      <c r="KU12" s="90">
        <f t="shared" si="157"/>
        <v>47.019109849154617</v>
      </c>
      <c r="KV12" s="90">
        <f t="shared" si="158"/>
        <v>49.28</v>
      </c>
      <c r="KW12" s="90">
        <f>KV12/($SP12-$HL12)*($SX12-$HN12)</f>
        <v>51.712599384194306</v>
      </c>
      <c r="KX12" s="90">
        <f t="shared" si="159"/>
        <v>51.99</v>
      </c>
      <c r="KY12" s="90">
        <f t="shared" si="160"/>
        <v>54.97847417037292</v>
      </c>
      <c r="KZ12" s="90">
        <f t="shared" si="161"/>
        <v>54.97847417037292</v>
      </c>
      <c r="LA12" s="90">
        <f t="shared" si="162"/>
        <v>337.50999999999988</v>
      </c>
      <c r="LB12" s="90">
        <f t="shared" si="163"/>
        <v>3.92</v>
      </c>
      <c r="LC12" s="92">
        <f t="shared" si="164"/>
        <v>4050.1199999999985</v>
      </c>
      <c r="LD12" s="92">
        <v>4.21</v>
      </c>
      <c r="LE12" s="92">
        <v>362.48</v>
      </c>
      <c r="LF12" s="90">
        <f t="shared" si="165"/>
        <v>4.18</v>
      </c>
      <c r="LG12" s="90">
        <f t="shared" si="166"/>
        <v>359.9</v>
      </c>
      <c r="LH12" s="90">
        <f t="shared" si="167"/>
        <v>362.82324999999986</v>
      </c>
      <c r="LI12" s="90">
        <f t="shared" si="168"/>
        <v>4.21</v>
      </c>
      <c r="LJ12" s="90">
        <f t="shared" si="169"/>
        <v>359.90000000000009</v>
      </c>
      <c r="LK12" s="90">
        <f t="shared" si="170"/>
        <v>4.18</v>
      </c>
      <c r="LL12" s="90">
        <f t="shared" si="171"/>
        <v>359.90000000000009</v>
      </c>
      <c r="LM12" s="90">
        <f t="shared" si="172"/>
        <v>4.18</v>
      </c>
      <c r="LN12" s="95">
        <v>0.46</v>
      </c>
      <c r="LO12" s="95">
        <f t="shared" si="173"/>
        <v>39.61</v>
      </c>
      <c r="LP12" s="95"/>
      <c r="LQ12" s="95">
        <f t="shared" si="174"/>
        <v>0</v>
      </c>
      <c r="LR12" s="90"/>
      <c r="LS12" s="90"/>
      <c r="LT12" s="90">
        <f t="shared" si="175"/>
        <v>0</v>
      </c>
      <c r="LU12" s="90"/>
      <c r="LV12" s="90">
        <f t="shared" si="176"/>
        <v>0</v>
      </c>
      <c r="LW12" s="90">
        <f t="shared" si="177"/>
        <v>0</v>
      </c>
      <c r="LX12" s="90"/>
      <c r="LY12" s="90"/>
      <c r="LZ12" s="90">
        <f t="shared" si="178"/>
        <v>0</v>
      </c>
      <c r="MA12" s="90"/>
      <c r="MB12" s="90">
        <f t="shared" si="179"/>
        <v>0</v>
      </c>
      <c r="MC12" s="90">
        <f t="shared" si="180"/>
        <v>0</v>
      </c>
      <c r="MD12" s="90"/>
      <c r="ME12" s="90"/>
      <c r="MF12" s="90">
        <f t="shared" si="181"/>
        <v>0</v>
      </c>
      <c r="MG12" s="90"/>
      <c r="MH12" s="90">
        <f t="shared" si="182"/>
        <v>0</v>
      </c>
      <c r="MI12" s="90">
        <f t="shared" si="183"/>
        <v>0</v>
      </c>
      <c r="MJ12" s="90"/>
      <c r="MK12" s="90"/>
      <c r="ML12" s="90">
        <f t="shared" si="184"/>
        <v>0</v>
      </c>
      <c r="MM12" s="90"/>
      <c r="MN12" s="90">
        <f t="shared" si="185"/>
        <v>0</v>
      </c>
      <c r="MO12" s="90">
        <f t="shared" si="186"/>
        <v>0</v>
      </c>
      <c r="MP12" s="90">
        <f t="shared" si="187"/>
        <v>0</v>
      </c>
      <c r="MQ12" s="90">
        <f t="shared" si="188"/>
        <v>0</v>
      </c>
      <c r="MR12" s="90">
        <f t="shared" si="189"/>
        <v>0</v>
      </c>
      <c r="MS12" s="90">
        <f t="shared" si="190"/>
        <v>0</v>
      </c>
      <c r="MT12" s="95"/>
      <c r="MU12" s="95">
        <f t="shared" si="191"/>
        <v>0</v>
      </c>
      <c r="MV12" s="92">
        <f t="shared" si="192"/>
        <v>0</v>
      </c>
      <c r="MW12" s="95"/>
      <c r="MX12" s="95">
        <f t="shared" si="193"/>
        <v>0</v>
      </c>
      <c r="MY12" s="95"/>
      <c r="MZ12" s="95">
        <f t="shared" si="194"/>
        <v>0</v>
      </c>
      <c r="NA12" s="95"/>
      <c r="NB12" s="95">
        <f t="shared" si="195"/>
        <v>0</v>
      </c>
      <c r="NC12" s="92">
        <f t="shared" si="196"/>
        <v>0</v>
      </c>
      <c r="ND12" s="95"/>
      <c r="NE12" s="95">
        <f t="shared" si="197"/>
        <v>0</v>
      </c>
      <c r="NF12" s="95"/>
      <c r="NG12" s="95">
        <f t="shared" si="198"/>
        <v>0</v>
      </c>
      <c r="NH12" s="95"/>
      <c r="NI12" s="95"/>
      <c r="NJ12" s="95">
        <f t="shared" si="199"/>
        <v>0</v>
      </c>
      <c r="NK12" s="92">
        <f t="shared" si="200"/>
        <v>0</v>
      </c>
      <c r="NL12" s="95"/>
      <c r="NM12" s="95">
        <f t="shared" si="201"/>
        <v>0</v>
      </c>
      <c r="NN12" s="95"/>
      <c r="NO12" s="95">
        <f t="shared" si="202"/>
        <v>0</v>
      </c>
      <c r="NP12" s="95"/>
      <c r="NQ12" s="95">
        <f t="shared" si="203"/>
        <v>0</v>
      </c>
      <c r="NR12" s="92">
        <f t="shared" si="204"/>
        <v>0</v>
      </c>
      <c r="NS12" s="95"/>
      <c r="NT12" s="95">
        <f t="shared" si="205"/>
        <v>0</v>
      </c>
      <c r="NU12" s="95"/>
      <c r="NV12" s="95">
        <f t="shared" si="206"/>
        <v>0</v>
      </c>
      <c r="NW12" s="95"/>
      <c r="NX12" s="95">
        <f t="shared" si="207"/>
        <v>0</v>
      </c>
      <c r="NY12" s="92">
        <f t="shared" si="208"/>
        <v>0</v>
      </c>
      <c r="NZ12" s="95"/>
      <c r="OA12" s="95">
        <f t="shared" si="209"/>
        <v>0</v>
      </c>
      <c r="OB12" s="95"/>
      <c r="OC12" s="95">
        <f t="shared" si="210"/>
        <v>0</v>
      </c>
      <c r="OD12" s="90">
        <v>625.09</v>
      </c>
      <c r="OE12" s="90">
        <f t="shared" si="211"/>
        <v>7.26</v>
      </c>
      <c r="OF12" s="92">
        <f t="shared" si="212"/>
        <v>7501.08</v>
      </c>
      <c r="OG12" s="96">
        <v>0</v>
      </c>
      <c r="OH12" s="96">
        <v>0</v>
      </c>
      <c r="OI12" s="90">
        <v>625.09</v>
      </c>
      <c r="OJ12" s="90">
        <f t="shared" si="213"/>
        <v>7.26</v>
      </c>
      <c r="OK12" s="90">
        <f t="shared" si="214"/>
        <v>625.09</v>
      </c>
      <c r="OL12" s="90">
        <f t="shared" si="215"/>
        <v>7.26</v>
      </c>
      <c r="OM12" s="90">
        <f t="shared" si="216"/>
        <v>0</v>
      </c>
      <c r="ON12" s="90">
        <v>625.09</v>
      </c>
      <c r="OO12" s="90">
        <f t="shared" si="217"/>
        <v>7.26</v>
      </c>
      <c r="OP12" s="90">
        <v>625.09</v>
      </c>
      <c r="OQ12" s="90">
        <v>7.26</v>
      </c>
      <c r="OR12" s="90">
        <f t="shared" si="218"/>
        <v>0</v>
      </c>
      <c r="OS12" s="90">
        <f t="shared" si="219"/>
        <v>7.26</v>
      </c>
      <c r="OT12" s="90">
        <v>625.09</v>
      </c>
      <c r="OU12" s="90">
        <f t="shared" si="220"/>
        <v>7.26</v>
      </c>
      <c r="OV12" s="97">
        <v>625.09</v>
      </c>
      <c r="OW12" s="90">
        <f t="shared" si="221"/>
        <v>625.09</v>
      </c>
      <c r="OX12" s="90">
        <f t="shared" si="222"/>
        <v>7.26</v>
      </c>
      <c r="OY12" s="90">
        <f>OU12-1+1</f>
        <v>7.26</v>
      </c>
      <c r="OZ12" s="90"/>
      <c r="PA12" s="90"/>
      <c r="PB12" s="95">
        <f t="shared" si="223"/>
        <v>0</v>
      </c>
      <c r="PC12" s="92">
        <f t="shared" si="224"/>
        <v>0</v>
      </c>
      <c r="PD12" s="90"/>
      <c r="PE12" s="95">
        <f t="shared" si="225"/>
        <v>0</v>
      </c>
      <c r="PF12" s="90">
        <f t="shared" si="226"/>
        <v>1276</v>
      </c>
      <c r="PG12" s="90">
        <f t="shared" si="227"/>
        <v>14.82</v>
      </c>
      <c r="PH12" s="90">
        <f t="shared" si="228"/>
        <v>1691.2800000000002</v>
      </c>
      <c r="PI12" s="90">
        <f t="shared" si="229"/>
        <v>19.64</v>
      </c>
      <c r="PJ12" s="90">
        <f t="shared" si="230"/>
        <v>1691.2800000000002</v>
      </c>
      <c r="PK12" s="90">
        <f t="shared" si="231"/>
        <v>19.64</v>
      </c>
      <c r="PL12" s="90"/>
      <c r="PM12" s="90">
        <f t="shared" si="232"/>
        <v>38.28</v>
      </c>
      <c r="PN12" s="90">
        <f t="shared" si="233"/>
        <v>0.44</v>
      </c>
      <c r="PO12" s="92">
        <f t="shared" si="234"/>
        <v>459.36</v>
      </c>
      <c r="PP12" s="90">
        <f t="shared" si="235"/>
        <v>50.74</v>
      </c>
      <c r="PQ12" s="90">
        <f t="shared" si="236"/>
        <v>0.59</v>
      </c>
      <c r="PR12" s="90">
        <f t="shared" si="237"/>
        <v>50.74</v>
      </c>
      <c r="PS12" s="90">
        <f t="shared" si="238"/>
        <v>0.59</v>
      </c>
      <c r="PT12" s="90">
        <f t="shared" si="239"/>
        <v>1314.28</v>
      </c>
      <c r="PU12" s="90">
        <f t="shared" si="240"/>
        <v>15.26</v>
      </c>
      <c r="PV12" s="90">
        <f t="shared" si="241"/>
        <v>1742.0200000000002</v>
      </c>
      <c r="PW12" s="90">
        <f t="shared" si="242"/>
        <v>20.23</v>
      </c>
      <c r="PX12" s="90">
        <f t="shared" si="243"/>
        <v>1742.0200000000002</v>
      </c>
      <c r="PY12" s="90">
        <f t="shared" si="244"/>
        <v>20.23</v>
      </c>
      <c r="PZ12" s="90">
        <f t="shared" si="245"/>
        <v>13.28</v>
      </c>
      <c r="QA12" s="90">
        <f t="shared" si="246"/>
        <v>0.15</v>
      </c>
      <c r="QB12" s="92">
        <f t="shared" si="247"/>
        <v>159.35999999999999</v>
      </c>
      <c r="QC12" s="90">
        <f t="shared" si="248"/>
        <v>17.600000000000001</v>
      </c>
      <c r="QD12" s="90">
        <f t="shared" si="249"/>
        <v>0.2</v>
      </c>
      <c r="QE12" s="90">
        <f t="shared" si="250"/>
        <v>17.600000000000001</v>
      </c>
      <c r="QF12" s="90">
        <f t="shared" si="251"/>
        <v>0.2</v>
      </c>
      <c r="QG12" s="90">
        <f t="shared" si="252"/>
        <v>1327.56</v>
      </c>
      <c r="QH12" s="90">
        <f t="shared" si="253"/>
        <v>15.42</v>
      </c>
      <c r="QI12" s="92">
        <f t="shared" si="254"/>
        <v>15930.72</v>
      </c>
      <c r="QJ12" s="90">
        <f t="shared" si="255"/>
        <v>67.132599384194307</v>
      </c>
      <c r="QK12" s="98">
        <f t="shared" si="256"/>
        <v>0.21869999999999998</v>
      </c>
      <c r="QL12" s="90">
        <f t="shared" si="257"/>
        <v>18.830069999999996</v>
      </c>
      <c r="QM12" s="90">
        <f t="shared" si="258"/>
        <v>0.14579999999999999</v>
      </c>
      <c r="QN12" s="90">
        <f t="shared" si="259"/>
        <v>12.553379999999997</v>
      </c>
      <c r="QO12" s="90">
        <v>0.21869999999999998</v>
      </c>
      <c r="QP12" s="90">
        <v>0.14579999999999999</v>
      </c>
      <c r="QQ12" s="97">
        <f t="shared" si="260"/>
        <v>31.383449999999993</v>
      </c>
      <c r="QR12" s="97">
        <v>31.383449999999993</v>
      </c>
      <c r="QS12" s="97">
        <f t="shared" si="261"/>
        <v>0</v>
      </c>
      <c r="QT12" s="90"/>
      <c r="QU12" s="90">
        <f t="shared" si="262"/>
        <v>0.14579999999999999</v>
      </c>
      <c r="QV12" s="90">
        <f t="shared" si="263"/>
        <v>12.553379999999997</v>
      </c>
      <c r="QW12" s="90">
        <f t="shared" si="264"/>
        <v>31.383449999999993</v>
      </c>
      <c r="QX12" s="90">
        <f t="shared" si="265"/>
        <v>0.36449999999999994</v>
      </c>
      <c r="QY12" s="90"/>
      <c r="QZ12" s="90"/>
      <c r="RA12" s="90"/>
      <c r="RB12" s="90">
        <v>320.46000000000004</v>
      </c>
      <c r="RC12" s="97">
        <f t="shared" si="266"/>
        <v>1327.56</v>
      </c>
      <c r="RD12" s="97">
        <f t="shared" si="267"/>
        <v>15.42</v>
      </c>
      <c r="RE12" s="90">
        <f t="shared" si="268"/>
        <v>1759.6200000000001</v>
      </c>
      <c r="RF12" s="90">
        <f t="shared" si="269"/>
        <v>20.440000000000001</v>
      </c>
      <c r="RG12" s="90">
        <f t="shared" si="270"/>
        <v>132.64114211550941</v>
      </c>
      <c r="RH12" s="90">
        <f t="shared" si="271"/>
        <v>1759.6200000000001</v>
      </c>
      <c r="RI12" s="90">
        <f t="shared" si="272"/>
        <v>20.440000000000001</v>
      </c>
      <c r="RJ12" s="90">
        <v>20.43</v>
      </c>
      <c r="RK12" s="90">
        <v>0</v>
      </c>
      <c r="RL12" s="90">
        <f t="shared" si="273"/>
        <v>1.0000000000001563E-2</v>
      </c>
      <c r="RM12" s="90">
        <f t="shared" si="274"/>
        <v>127.6875</v>
      </c>
      <c r="RN12" s="90">
        <f t="shared" si="275"/>
        <v>650.90999999999985</v>
      </c>
      <c r="RO12" s="90"/>
      <c r="RP12" s="90"/>
      <c r="RQ12" s="99">
        <v>281</v>
      </c>
      <c r="RR12" s="90">
        <f t="shared" si="276"/>
        <v>702.4699999999998</v>
      </c>
      <c r="RS12" s="90">
        <f t="shared" si="277"/>
        <v>8.1587688734030177</v>
      </c>
      <c r="RT12" s="90">
        <v>11.28</v>
      </c>
      <c r="RU12" s="90">
        <f t="shared" si="278"/>
        <v>971.20799999999986</v>
      </c>
      <c r="RV12" s="90">
        <f t="shared" si="279"/>
        <v>0.77970498704058433</v>
      </c>
      <c r="RW12" s="90">
        <v>10.43</v>
      </c>
      <c r="RX12" s="90">
        <f t="shared" si="280"/>
        <v>10.951499999999999</v>
      </c>
      <c r="RY12" s="90">
        <f t="shared" si="281"/>
        <v>942.92414999999983</v>
      </c>
      <c r="RZ12" s="90">
        <f t="shared" si="282"/>
        <v>248.76252178580853</v>
      </c>
      <c r="SA12" s="90">
        <f t="shared" si="283"/>
        <v>111.29518757363553</v>
      </c>
      <c r="SB12" s="90">
        <f t="shared" si="284"/>
        <v>168.29385408210885</v>
      </c>
      <c r="SC12" s="90">
        <f t="shared" si="285"/>
        <v>305.76118829428185</v>
      </c>
      <c r="SD12" s="90">
        <f t="shared" si="286"/>
        <v>305.76118829428185</v>
      </c>
      <c r="SE12" s="90">
        <f t="shared" si="287"/>
        <v>310.3706802881718</v>
      </c>
      <c r="SF12" s="90">
        <f t="shared" si="288"/>
        <v>305.74553037521497</v>
      </c>
      <c r="SG12" s="90">
        <f t="shared" si="289"/>
        <v>1.5657919066882187E-2</v>
      </c>
      <c r="SH12" s="90">
        <f t="shared" si="290"/>
        <v>305.76118829428185</v>
      </c>
      <c r="SI12" s="90">
        <f t="shared" si="291"/>
        <v>3.5512333135224377</v>
      </c>
      <c r="SJ12" s="90">
        <f t="shared" si="292"/>
        <v>3.5510514561581301</v>
      </c>
      <c r="SK12" s="90"/>
      <c r="SL12" s="90"/>
      <c r="SM12" s="90"/>
      <c r="SN12" s="90">
        <f t="shared" si="293"/>
        <v>327.38</v>
      </c>
      <c r="SO12" s="90" t="e">
        <f>RU12-#REF!-#REF!-HZ12-LT12-LZ12-MF12-ML12-QL12-QN12-SD12</f>
        <v>#REF!</v>
      </c>
      <c r="SP12" s="90">
        <f t="shared" si="294"/>
        <v>320.46000000000004</v>
      </c>
      <c r="SQ12" s="90">
        <f t="shared" si="295"/>
        <v>337.50999999999988</v>
      </c>
      <c r="SR12" s="90">
        <f t="shared" si="296"/>
        <v>3.7219512195121958</v>
      </c>
      <c r="SS12" s="90">
        <f t="shared" si="297"/>
        <v>3.9199767711962821</v>
      </c>
      <c r="ST12" s="90">
        <f t="shared" si="298"/>
        <v>338.83699999999999</v>
      </c>
      <c r="SU12" s="90">
        <v>3.7219512195121958</v>
      </c>
      <c r="SV12" s="90">
        <f t="shared" si="299"/>
        <v>3.94</v>
      </c>
      <c r="SW12" s="90">
        <v>3.92</v>
      </c>
      <c r="SX12" s="90">
        <f t="shared" si="300"/>
        <v>337.51</v>
      </c>
      <c r="SY12" s="90">
        <v>3.7219512195121958</v>
      </c>
      <c r="SZ12" s="90">
        <f t="shared" si="301"/>
        <v>320.46000000000004</v>
      </c>
      <c r="TA12" s="90">
        <f t="shared" si="302"/>
        <v>0</v>
      </c>
      <c r="TB12" s="90">
        <v>0</v>
      </c>
      <c r="TC12" s="90">
        <f t="shared" si="303"/>
        <v>322.31954999999982</v>
      </c>
      <c r="TD12" s="90" t="e">
        <f>#REF!+#REF!</f>
        <v>#REF!</v>
      </c>
      <c r="TE12" s="90" t="e">
        <f t="shared" si="304"/>
        <v>#REF!</v>
      </c>
      <c r="TF12" s="90">
        <v>322.31954999999982</v>
      </c>
      <c r="TG12" s="90">
        <f t="shared" si="305"/>
        <v>33.187489188721656</v>
      </c>
      <c r="TH12" s="95"/>
      <c r="TI12" s="95"/>
      <c r="TJ12" s="95"/>
      <c r="TK12" s="95"/>
      <c r="TL12" s="95"/>
      <c r="TM12" s="95">
        <f t="shared" si="306"/>
        <v>0</v>
      </c>
      <c r="TN12" s="95">
        <f t="shared" si="307"/>
        <v>971.20799999999986</v>
      </c>
      <c r="TO12" s="95">
        <f t="shared" si="308"/>
        <v>33.187489188721656</v>
      </c>
      <c r="TP12" s="95"/>
      <c r="TQ12" s="95">
        <f t="shared" si="309"/>
        <v>14.579999999999998</v>
      </c>
      <c r="TR12" s="95"/>
      <c r="TS12" s="95"/>
      <c r="TT12" s="95"/>
      <c r="TU12" s="95"/>
      <c r="TV12" s="95"/>
      <c r="TW12" s="95"/>
      <c r="TX12" s="95"/>
      <c r="TY12" s="95"/>
      <c r="TZ12" s="95">
        <f t="shared" si="310"/>
        <v>2.5</v>
      </c>
      <c r="UA12" s="95">
        <f t="shared" si="311"/>
        <v>0.64151999999999998</v>
      </c>
      <c r="UB12" s="90">
        <v>3.3</v>
      </c>
      <c r="UC12" s="90">
        <f t="shared" si="312"/>
        <v>284.12999999999994</v>
      </c>
      <c r="UD12" s="90">
        <f t="shared" si="313"/>
        <v>2.8699999999999992</v>
      </c>
      <c r="UE12" s="90">
        <f t="shared" si="314"/>
        <v>281.25999999999993</v>
      </c>
      <c r="UF12" s="90">
        <f t="shared" si="315"/>
        <v>1255.3379999999997</v>
      </c>
      <c r="UG12" s="91">
        <f t="shared" si="316"/>
        <v>22.633744855967077</v>
      </c>
      <c r="UH12" s="95">
        <f t="shared" si="317"/>
        <v>25.675917561644745</v>
      </c>
      <c r="UI12" s="95">
        <f t="shared" si="318"/>
        <v>1255.3379999999997</v>
      </c>
      <c r="UJ12" s="101">
        <f t="shared" si="319"/>
        <v>22.633744855967077</v>
      </c>
      <c r="UK12" s="101">
        <f t="shared" si="320"/>
        <v>25.675917561644745</v>
      </c>
      <c r="UL12" s="90" t="e">
        <f>(#REF!+#REF!+HZ12+LT12+LZ12+MF12+ML12+QL12+QN12+SN12+TC12+TM12+UC12)/I12</f>
        <v>#REF!</v>
      </c>
      <c r="UN12" s="90" t="e">
        <f>#REF!/I12</f>
        <v>#REF!</v>
      </c>
      <c r="UO12" s="90" t="e">
        <f>#REF!/I12</f>
        <v>#REF!</v>
      </c>
      <c r="UP12" s="90">
        <v>1.1499999999999999</v>
      </c>
      <c r="UQ12" s="90" t="e">
        <f t="shared" si="321"/>
        <v>#REF!</v>
      </c>
      <c r="UR12" s="90">
        <f t="shared" si="322"/>
        <v>702.4699999999998</v>
      </c>
      <c r="US12" s="90">
        <f t="shared" si="323"/>
        <v>1094.92</v>
      </c>
      <c r="UT12" s="90">
        <f t="shared" si="324"/>
        <v>1094.92</v>
      </c>
      <c r="UU12" s="90">
        <f t="shared" si="325"/>
        <v>1134.53</v>
      </c>
      <c r="UV12" s="90">
        <f t="shared" si="326"/>
        <v>1094.92</v>
      </c>
      <c r="UW12" s="90">
        <f t="shared" si="327"/>
        <v>3.92</v>
      </c>
      <c r="UX12" s="90">
        <f t="shared" si="328"/>
        <v>3.92</v>
      </c>
      <c r="UY12" s="90">
        <f t="shared" si="329"/>
        <v>3.8023228803716611</v>
      </c>
      <c r="UZ12" s="100">
        <f t="shared" si="330"/>
        <v>3.5512333135224377</v>
      </c>
      <c r="VA12" s="90">
        <f t="shared" si="331"/>
        <v>0</v>
      </c>
      <c r="VB12" s="90">
        <f t="shared" si="332"/>
        <v>0</v>
      </c>
      <c r="VC12" s="90">
        <f t="shared" si="333"/>
        <v>0</v>
      </c>
      <c r="VD12" s="90">
        <f t="shared" si="334"/>
        <v>0</v>
      </c>
      <c r="VE12" s="90">
        <f t="shared" si="335"/>
        <v>0</v>
      </c>
      <c r="VF12" s="90">
        <f t="shared" si="336"/>
        <v>0</v>
      </c>
      <c r="VG12" s="90">
        <f t="shared" si="337"/>
        <v>0</v>
      </c>
      <c r="VH12" s="90">
        <f t="shared" si="338"/>
        <v>0</v>
      </c>
      <c r="VI12" s="90">
        <f t="shared" si="339"/>
        <v>0</v>
      </c>
      <c r="VJ12" s="90">
        <f t="shared" si="340"/>
        <v>0</v>
      </c>
      <c r="VK12" s="90">
        <f t="shared" si="341"/>
        <v>0</v>
      </c>
      <c r="VL12" s="90">
        <f t="shared" si="342"/>
        <v>3.64</v>
      </c>
      <c r="VM12" s="90">
        <f t="shared" si="343"/>
        <v>7.26</v>
      </c>
      <c r="VN12" s="90">
        <f t="shared" si="344"/>
        <v>0</v>
      </c>
      <c r="VO12" s="90">
        <f t="shared" si="345"/>
        <v>7.26</v>
      </c>
      <c r="VP12" s="97">
        <v>3.3</v>
      </c>
      <c r="VQ12" s="97">
        <v>7.26</v>
      </c>
      <c r="VR12" s="90">
        <f t="shared" si="346"/>
        <v>0.44</v>
      </c>
      <c r="VS12" s="90">
        <f t="shared" si="347"/>
        <v>0.15</v>
      </c>
      <c r="VT12" s="90">
        <v>0.11989898989898991</v>
      </c>
      <c r="VU12" s="90">
        <f t="shared" si="348"/>
        <v>0.15410000000000001</v>
      </c>
      <c r="VV12" s="90">
        <v>0.38175323599898991</v>
      </c>
      <c r="VW12" s="90">
        <f t="shared" si="349"/>
        <v>0.59</v>
      </c>
      <c r="VX12" s="90">
        <f t="shared" si="350"/>
        <v>15.41</v>
      </c>
      <c r="VY12" s="90">
        <f t="shared" si="351"/>
        <v>15.41</v>
      </c>
      <c r="VZ12" s="90">
        <f t="shared" si="352"/>
        <v>0</v>
      </c>
      <c r="WA12" s="90"/>
      <c r="WB12" s="90">
        <f t="shared" si="353"/>
        <v>15.41</v>
      </c>
      <c r="WC12" s="90">
        <f t="shared" si="354"/>
        <v>0</v>
      </c>
      <c r="WD12" s="90"/>
      <c r="WE12" s="90">
        <v>15.41</v>
      </c>
      <c r="WF12" s="90"/>
      <c r="WG12" s="90">
        <f t="shared" si="355"/>
        <v>1326.8009999999999</v>
      </c>
      <c r="WH12" s="90">
        <f t="shared" si="356"/>
        <v>1326.8009999999999</v>
      </c>
      <c r="WI12" s="90">
        <f t="shared" si="357"/>
        <v>1327.56</v>
      </c>
      <c r="WJ12" s="90">
        <f t="shared" si="358"/>
        <v>702.4699999999998</v>
      </c>
      <c r="WK12" s="97">
        <v>625.09</v>
      </c>
      <c r="WL12" s="97">
        <v>7.26</v>
      </c>
      <c r="WM12" s="90">
        <f t="shared" si="359"/>
        <v>625.09</v>
      </c>
      <c r="WN12" s="90">
        <f t="shared" si="360"/>
        <v>7.26</v>
      </c>
      <c r="WO12" s="90"/>
      <c r="WP12" s="97">
        <v>15.41</v>
      </c>
      <c r="WQ12" s="90">
        <f t="shared" si="361"/>
        <v>15.41</v>
      </c>
      <c r="WR12" s="91">
        <f t="shared" si="362"/>
        <v>105.69272976680386</v>
      </c>
      <c r="WS12" s="91">
        <f t="shared" si="363"/>
        <v>136.61347517730496</v>
      </c>
      <c r="WT12" s="90">
        <f t="shared" si="364"/>
        <v>1326.8</v>
      </c>
      <c r="WU12" s="90">
        <f t="shared" si="365"/>
        <v>1327.56</v>
      </c>
      <c r="WV12" s="90">
        <f t="shared" si="366"/>
        <v>-0.75999999999999091</v>
      </c>
      <c r="WW12" s="90"/>
      <c r="WX12" s="90"/>
      <c r="WY12" s="90"/>
      <c r="WZ12" s="90">
        <f t="shared" si="367"/>
        <v>7.2320434343434341</v>
      </c>
      <c r="XA12" s="90">
        <v>3.3</v>
      </c>
      <c r="XB12" s="90">
        <f t="shared" si="368"/>
        <v>10.532043434343434</v>
      </c>
      <c r="XC12" s="90">
        <f t="shared" si="369"/>
        <v>0.46229999999999999</v>
      </c>
      <c r="XD12" s="90">
        <f t="shared" si="370"/>
        <v>0.15565656565656566</v>
      </c>
      <c r="XE12" s="90"/>
      <c r="XF12" s="90">
        <f t="shared" si="371"/>
        <v>15.41</v>
      </c>
      <c r="XG12" s="90">
        <v>7.0435487804878019</v>
      </c>
      <c r="XH12" s="20">
        <v>11.28</v>
      </c>
      <c r="XI12" s="20">
        <v>3.3</v>
      </c>
      <c r="XJ12" s="20"/>
      <c r="XK12" s="20"/>
      <c r="XL12" s="20"/>
      <c r="XM12" s="20">
        <f t="shared" si="372"/>
        <v>14.579999999999998</v>
      </c>
      <c r="XN12" s="91">
        <f t="shared" si="373"/>
        <v>105.69272976680386</v>
      </c>
      <c r="XO12" s="20">
        <f t="shared" si="374"/>
        <v>11.28</v>
      </c>
      <c r="XP12" s="90">
        <f t="shared" si="375"/>
        <v>11.28</v>
      </c>
      <c r="XQ12" s="91">
        <f t="shared" si="376"/>
        <v>136.61347517730496</v>
      </c>
      <c r="XR12" s="102"/>
      <c r="XS12" s="90">
        <f t="shared" si="377"/>
        <v>3.64</v>
      </c>
      <c r="XT12" s="90">
        <f t="shared" si="378"/>
        <v>3.92</v>
      </c>
      <c r="XU12" s="90">
        <f t="shared" si="379"/>
        <v>3.92</v>
      </c>
      <c r="XV12" s="90">
        <f t="shared" si="380"/>
        <v>0</v>
      </c>
      <c r="XW12" s="90">
        <f t="shared" si="381"/>
        <v>0</v>
      </c>
      <c r="XX12" s="90">
        <f t="shared" si="382"/>
        <v>0</v>
      </c>
      <c r="XY12" s="90">
        <f t="shared" si="383"/>
        <v>0</v>
      </c>
      <c r="XZ12" s="90">
        <f t="shared" si="384"/>
        <v>0</v>
      </c>
      <c r="YA12" s="90">
        <f t="shared" si="385"/>
        <v>0</v>
      </c>
      <c r="YB12" s="90">
        <f t="shared" si="386"/>
        <v>0</v>
      </c>
      <c r="YC12" s="90">
        <f t="shared" si="386"/>
        <v>0</v>
      </c>
      <c r="YD12" s="90">
        <f t="shared" si="387"/>
        <v>0</v>
      </c>
      <c r="YE12" s="90">
        <f t="shared" si="388"/>
        <v>7.26</v>
      </c>
      <c r="YF12" s="90">
        <f t="shared" si="389"/>
        <v>0.59</v>
      </c>
      <c r="YG12" s="90">
        <f t="shared" si="390"/>
        <v>15.41</v>
      </c>
      <c r="YI12" s="103" t="s">
        <v>580</v>
      </c>
      <c r="YK12" s="90">
        <f t="shared" si="391"/>
        <v>1.07</v>
      </c>
      <c r="YL12" s="90">
        <f t="shared" si="392"/>
        <v>0</v>
      </c>
      <c r="YM12" s="90">
        <f t="shared" si="392"/>
        <v>0</v>
      </c>
      <c r="YN12" s="90">
        <f t="shared" si="393"/>
        <v>3.64</v>
      </c>
      <c r="YO12" s="90">
        <f t="shared" si="394"/>
        <v>10.7</v>
      </c>
      <c r="YP12" s="90">
        <f t="shared" si="395"/>
        <v>0</v>
      </c>
      <c r="YQ12" s="90">
        <f t="shared" si="396"/>
        <v>15.41</v>
      </c>
      <c r="YR12" s="90">
        <f t="shared" si="397"/>
        <v>0</v>
      </c>
      <c r="YS12" s="104">
        <f t="shared" si="398"/>
        <v>15.41</v>
      </c>
      <c r="YT12" s="104">
        <f t="shared" si="399"/>
        <v>0</v>
      </c>
      <c r="YY12" s="90">
        <f t="shared" si="400"/>
        <v>7.81</v>
      </c>
      <c r="YZ12" s="90">
        <f t="shared" si="401"/>
        <v>4.18</v>
      </c>
      <c r="ZA12" s="90">
        <f t="shared" si="402"/>
        <v>0</v>
      </c>
      <c r="ZB12" s="90">
        <f t="shared" si="403"/>
        <v>3.63</v>
      </c>
      <c r="ZC12" s="90">
        <f t="shared" si="404"/>
        <v>0</v>
      </c>
      <c r="ZD12" s="90">
        <f t="shared" si="405"/>
        <v>0</v>
      </c>
      <c r="ZE12" s="90">
        <f t="shared" si="406"/>
        <v>0</v>
      </c>
      <c r="ZF12" s="90">
        <f t="shared" si="407"/>
        <v>0</v>
      </c>
      <c r="ZG12" s="90">
        <f t="shared" si="408"/>
        <v>0</v>
      </c>
      <c r="ZH12" s="90">
        <f t="shared" si="409"/>
        <v>0</v>
      </c>
      <c r="ZI12" s="90">
        <f t="shared" si="410"/>
        <v>0</v>
      </c>
      <c r="ZJ12" s="90">
        <f t="shared" si="411"/>
        <v>0</v>
      </c>
      <c r="ZK12" s="90">
        <f t="shared" si="412"/>
        <v>0</v>
      </c>
      <c r="ZL12" s="90">
        <f t="shared" si="413"/>
        <v>0</v>
      </c>
      <c r="ZM12" s="90">
        <f t="shared" si="414"/>
        <v>4.1100000000000003</v>
      </c>
      <c r="ZN12" s="90">
        <f t="shared" si="415"/>
        <v>10.89</v>
      </c>
      <c r="ZO12" s="90">
        <f t="shared" si="416"/>
        <v>7.26</v>
      </c>
      <c r="ZP12" s="90">
        <f t="shared" si="417"/>
        <v>7.26</v>
      </c>
      <c r="ZQ12" s="90">
        <f t="shared" si="418"/>
        <v>0</v>
      </c>
      <c r="ZR12" s="90">
        <f t="shared" si="419"/>
        <v>7.26</v>
      </c>
      <c r="ZS12" s="97">
        <v>227</v>
      </c>
      <c r="ZT12" s="97">
        <v>230.38</v>
      </c>
      <c r="ZU12" s="90">
        <f t="shared" si="420"/>
        <v>0.59</v>
      </c>
      <c r="ZV12" s="90">
        <f t="shared" si="421"/>
        <v>0.2</v>
      </c>
      <c r="ZW12" s="90">
        <v>0.11989898989898991</v>
      </c>
      <c r="ZX12" s="90">
        <f t="shared" si="422"/>
        <v>0.19969999999999999</v>
      </c>
      <c r="ZY12" s="90">
        <v>0.38175323599898991</v>
      </c>
      <c r="ZZ12" s="90">
        <f t="shared" si="423"/>
        <v>0.79</v>
      </c>
      <c r="AAA12" s="90">
        <f t="shared" si="424"/>
        <v>19.97</v>
      </c>
      <c r="AAB12" s="90">
        <f t="shared" si="425"/>
        <v>19.97</v>
      </c>
      <c r="AAC12" s="90">
        <f t="shared" si="426"/>
        <v>0</v>
      </c>
      <c r="AAD12" s="90"/>
      <c r="AAE12" s="90">
        <f t="shared" si="427"/>
        <v>19.97</v>
      </c>
      <c r="AAF12" s="90">
        <v>15.41</v>
      </c>
      <c r="AAG12" s="90">
        <f t="shared" si="428"/>
        <v>129.59117456197274</v>
      </c>
      <c r="AAH12" s="90">
        <f t="shared" si="429"/>
        <v>0</v>
      </c>
      <c r="AAI12" s="90">
        <v>0</v>
      </c>
      <c r="AAJ12" s="90"/>
      <c r="AAK12" s="1">
        <v>16</v>
      </c>
      <c r="AAL12" s="104">
        <f t="shared" si="430"/>
        <v>3.9699999999999989</v>
      </c>
      <c r="AAM12" s="103" t="s">
        <v>463</v>
      </c>
      <c r="AAN12" s="105">
        <v>4.21</v>
      </c>
      <c r="AAO12" s="90">
        <f t="shared" si="431"/>
        <v>8.27</v>
      </c>
      <c r="AAP12" s="90">
        <v>4.21</v>
      </c>
      <c r="AAQ12" s="90">
        <f t="shared" si="432"/>
        <v>4.18</v>
      </c>
      <c r="AAR12" s="90">
        <v>0</v>
      </c>
      <c r="AAS12" s="90">
        <f t="shared" si="433"/>
        <v>0</v>
      </c>
      <c r="AAT12" s="90"/>
      <c r="AAU12" s="90">
        <v>0</v>
      </c>
      <c r="AAV12" s="90">
        <f t="shared" si="434"/>
        <v>3.63</v>
      </c>
      <c r="AAW12" s="90"/>
      <c r="AAX12" s="90">
        <f t="shared" si="436"/>
        <v>0.46</v>
      </c>
      <c r="AAY12" s="90">
        <f t="shared" si="437"/>
        <v>0</v>
      </c>
      <c r="AAZ12" s="90">
        <f t="shared" si="438"/>
        <v>0</v>
      </c>
      <c r="ABA12" s="90">
        <f t="shared" si="439"/>
        <v>0</v>
      </c>
      <c r="ABB12" s="90">
        <f t="shared" si="440"/>
        <v>0</v>
      </c>
      <c r="ABC12" s="90">
        <v>0</v>
      </c>
      <c r="ABD12" s="90">
        <f t="shared" si="441"/>
        <v>0</v>
      </c>
      <c r="ABE12" s="90"/>
      <c r="ABF12" s="90">
        <v>0</v>
      </c>
      <c r="ABG12" s="90">
        <f t="shared" si="442"/>
        <v>0</v>
      </c>
      <c r="ABH12" s="90"/>
      <c r="ABI12" s="90">
        <f t="shared" si="443"/>
        <v>0</v>
      </c>
      <c r="ABJ12" s="90">
        <f t="shared" si="444"/>
        <v>0</v>
      </c>
      <c r="ABK12" s="90">
        <v>0</v>
      </c>
      <c r="ABL12" s="90">
        <f t="shared" si="445"/>
        <v>0</v>
      </c>
      <c r="ABM12" s="90">
        <f t="shared" si="446"/>
        <v>0</v>
      </c>
      <c r="ABN12" s="90">
        <f t="shared" si="447"/>
        <v>0.02</v>
      </c>
      <c r="ABO12" s="90">
        <v>3.91</v>
      </c>
      <c r="ABP12" s="90">
        <f t="shared" si="448"/>
        <v>4.1100000000000003</v>
      </c>
      <c r="ABQ12" s="90">
        <f t="shared" si="449"/>
        <v>105.1150895140665</v>
      </c>
      <c r="ABR12" s="90">
        <f t="shared" si="450"/>
        <v>10.89</v>
      </c>
      <c r="ABS12" s="90">
        <f t="shared" si="451"/>
        <v>7.26</v>
      </c>
      <c r="ABT12" s="90">
        <v>7.26</v>
      </c>
      <c r="ABU12" s="90">
        <f t="shared" si="452"/>
        <v>7.26</v>
      </c>
      <c r="ABV12" s="90">
        <f t="shared" si="453"/>
        <v>100</v>
      </c>
      <c r="ABW12" s="90">
        <f t="shared" si="454"/>
        <v>0.03</v>
      </c>
      <c r="ABX12" s="90">
        <f t="shared" si="455"/>
        <v>7.29</v>
      </c>
      <c r="ABY12" s="97">
        <v>227</v>
      </c>
      <c r="ABZ12" s="97">
        <v>230.38</v>
      </c>
      <c r="ACA12" s="90">
        <f t="shared" si="456"/>
        <v>0.59</v>
      </c>
      <c r="ACB12" s="90">
        <f t="shared" si="457"/>
        <v>0.2</v>
      </c>
      <c r="ACC12" s="90">
        <v>0.11989898989898991</v>
      </c>
      <c r="ACD12" s="90">
        <f t="shared" si="458"/>
        <v>0.2</v>
      </c>
      <c r="ACE12" s="90">
        <v>0.38175323599898991</v>
      </c>
      <c r="ACF12" s="90">
        <v>0.62</v>
      </c>
      <c r="ACG12" s="90">
        <f t="shared" si="459"/>
        <v>0.79</v>
      </c>
      <c r="ACH12" s="90">
        <f t="shared" si="460"/>
        <v>127.41935483870968</v>
      </c>
      <c r="ACI12" s="90">
        <f t="shared" si="461"/>
        <v>20.43</v>
      </c>
      <c r="ACJ12" s="90">
        <f t="shared" si="462"/>
        <v>20</v>
      </c>
      <c r="ACK12" s="90">
        <f t="shared" si="463"/>
        <v>-0.42999999999999972</v>
      </c>
      <c r="ACL12" s="90"/>
      <c r="ACM12" s="90">
        <f t="shared" si="464"/>
        <v>20.43</v>
      </c>
      <c r="ACN12" s="90">
        <f t="shared" si="465"/>
        <v>0</v>
      </c>
      <c r="ACO12" s="90">
        <f t="shared" si="466"/>
        <v>20.43</v>
      </c>
      <c r="ACP12" s="90">
        <v>16</v>
      </c>
      <c r="ACQ12" s="90">
        <f t="shared" si="467"/>
        <v>127.6875</v>
      </c>
      <c r="ACR12" s="90">
        <f t="shared" si="468"/>
        <v>0</v>
      </c>
      <c r="ACS12" s="90">
        <v>0</v>
      </c>
      <c r="ACT12" s="90"/>
      <c r="ACU12" s="90">
        <f t="shared" si="469"/>
        <v>16.815999999999999</v>
      </c>
      <c r="ACV12" s="90">
        <f t="shared" si="470"/>
        <v>-3.6140000000000008</v>
      </c>
      <c r="ACX12" s="106" t="s">
        <v>440</v>
      </c>
      <c r="ACY12" s="107"/>
      <c r="ACZ12" s="107"/>
      <c r="ADB12" s="90">
        <f t="shared" si="471"/>
        <v>4.1100000000000003</v>
      </c>
      <c r="ADC12" s="90">
        <f t="shared" si="472"/>
        <v>8.27</v>
      </c>
      <c r="ADD12" s="90">
        <f t="shared" si="473"/>
        <v>4.18</v>
      </c>
      <c r="ADE12" s="90">
        <f t="shared" si="474"/>
        <v>0.46</v>
      </c>
      <c r="ADF12" s="90">
        <f t="shared" si="475"/>
        <v>0</v>
      </c>
      <c r="ADG12" s="90">
        <f t="shared" si="476"/>
        <v>0.46</v>
      </c>
      <c r="ADH12" s="90">
        <f t="shared" si="476"/>
        <v>0</v>
      </c>
      <c r="ADI12" s="90">
        <f t="shared" si="476"/>
        <v>0</v>
      </c>
      <c r="ADJ12" s="90">
        <f t="shared" si="477"/>
        <v>3.63</v>
      </c>
      <c r="ADK12" s="90">
        <f t="shared" si="478"/>
        <v>0</v>
      </c>
      <c r="ADL12" s="90">
        <f t="shared" si="479"/>
        <v>0</v>
      </c>
      <c r="ADM12" s="90">
        <f t="shared" si="480"/>
        <v>0</v>
      </c>
      <c r="ADN12" s="90">
        <f t="shared" si="480"/>
        <v>0</v>
      </c>
      <c r="ADO12" s="90">
        <f t="shared" si="481"/>
        <v>3.63</v>
      </c>
      <c r="ADP12" s="90">
        <f t="shared" si="482"/>
        <v>7.26</v>
      </c>
      <c r="ADQ12" s="90">
        <f t="shared" si="483"/>
        <v>0.79</v>
      </c>
      <c r="ADR12" s="90">
        <f t="shared" si="484"/>
        <v>20.43</v>
      </c>
      <c r="ADU12" s="90">
        <f t="shared" si="485"/>
        <v>1.1499999999999999</v>
      </c>
      <c r="ADV12" s="90">
        <f t="shared" si="486"/>
        <v>0</v>
      </c>
      <c r="ADW12" s="90">
        <f t="shared" si="487"/>
        <v>3.63</v>
      </c>
      <c r="ADX12" s="90">
        <f t="shared" si="488"/>
        <v>4.1100000000000003</v>
      </c>
      <c r="ADY12" s="90">
        <f t="shared" si="489"/>
        <v>11.079999999999998</v>
      </c>
      <c r="ADZ12" s="90">
        <f t="shared" si="490"/>
        <v>0</v>
      </c>
      <c r="AEA12" s="90">
        <f t="shared" si="491"/>
        <v>20.43</v>
      </c>
      <c r="AEB12" s="90">
        <f t="shared" si="492"/>
        <v>0</v>
      </c>
      <c r="AEC12" s="104">
        <f t="shared" si="493"/>
        <v>19.97</v>
      </c>
      <c r="AED12" s="104">
        <f t="shared" si="494"/>
        <v>0.46000000000000085</v>
      </c>
      <c r="AEG12" s="1">
        <v>4.21</v>
      </c>
      <c r="AEH12" s="1">
        <v>4.21</v>
      </c>
      <c r="AEI12" s="1">
        <v>0</v>
      </c>
      <c r="AEJ12" s="1">
        <v>0</v>
      </c>
      <c r="AEK12" s="1">
        <v>0</v>
      </c>
      <c r="AEL12" s="1">
        <v>0</v>
      </c>
      <c r="AEM12" s="1">
        <v>0</v>
      </c>
      <c r="AEN12" s="1">
        <v>0</v>
      </c>
      <c r="AEO12" s="1">
        <v>0</v>
      </c>
      <c r="AEP12" s="1">
        <v>0</v>
      </c>
      <c r="AEQ12" s="1">
        <v>0</v>
      </c>
      <c r="AER12" s="1">
        <v>0</v>
      </c>
      <c r="AES12" s="1">
        <v>0</v>
      </c>
      <c r="AET12" s="1">
        <v>0</v>
      </c>
      <c r="AEU12" s="1">
        <v>0</v>
      </c>
      <c r="AEV12" s="1">
        <v>0.02</v>
      </c>
      <c r="AEW12" s="1">
        <v>3.91</v>
      </c>
      <c r="AEX12" s="1">
        <v>7.26</v>
      </c>
      <c r="AEY12" s="1">
        <v>7.26</v>
      </c>
      <c r="AEZ12" s="1">
        <v>7.26</v>
      </c>
      <c r="AFA12" s="1">
        <v>0.03</v>
      </c>
      <c r="AFB12" s="1">
        <v>7.29</v>
      </c>
      <c r="AFC12" s="1">
        <v>227</v>
      </c>
      <c r="AFD12" s="1">
        <v>230.38</v>
      </c>
      <c r="AFE12" s="1">
        <v>0.46</v>
      </c>
      <c r="AFF12" s="1">
        <v>0.16</v>
      </c>
      <c r="AFG12" s="1">
        <v>0.11989898989898991</v>
      </c>
      <c r="AFH12" s="1">
        <v>0.16030000000000003</v>
      </c>
      <c r="AFI12" s="1">
        <v>0.38175323599898991</v>
      </c>
      <c r="AFJ12" s="1">
        <v>0.62</v>
      </c>
      <c r="AFK12" s="1">
        <v>16</v>
      </c>
      <c r="AFL12" s="1">
        <v>16.03</v>
      </c>
      <c r="AFM12" s="1">
        <v>3.0000000000001137E-2</v>
      </c>
      <c r="AFO12" s="1">
        <v>16</v>
      </c>
      <c r="AFP12" s="1">
        <v>0</v>
      </c>
      <c r="AFQ12" s="1">
        <v>16</v>
      </c>
      <c r="AFX12" s="1">
        <v>20.440000000000001</v>
      </c>
    </row>
    <row r="13" spans="1:856" s="1" customFormat="1" ht="63.75" customHeight="1">
      <c r="A13" s="88">
        <v>4</v>
      </c>
      <c r="B13" s="20" t="s">
        <v>574</v>
      </c>
      <c r="C13" s="89" t="s">
        <v>581</v>
      </c>
      <c r="D13" s="20" t="s">
        <v>574</v>
      </c>
      <c r="E13" s="20" t="s">
        <v>437</v>
      </c>
      <c r="F13" s="20" t="s">
        <v>438</v>
      </c>
      <c r="G13" s="20">
        <v>0.8</v>
      </c>
      <c r="H13" s="20">
        <v>95</v>
      </c>
      <c r="I13" s="91">
        <f>95+0.1-0.1</f>
        <v>95</v>
      </c>
      <c r="J13" s="90">
        <f t="shared" si="0"/>
        <v>76</v>
      </c>
      <c r="K13" s="20">
        <v>3</v>
      </c>
      <c r="L13" s="20"/>
      <c r="M13" s="20"/>
      <c r="N13" s="20"/>
      <c r="O13" s="90">
        <f t="shared" si="1"/>
        <v>0</v>
      </c>
      <c r="P13" s="20"/>
      <c r="Q13" s="20"/>
      <c r="R13" s="90">
        <f t="shared" si="2"/>
        <v>0</v>
      </c>
      <c r="S13" s="20"/>
      <c r="T13" s="20">
        <v>2.6</v>
      </c>
      <c r="U13" s="20">
        <v>3.13</v>
      </c>
      <c r="V13" s="91">
        <f t="shared" si="3"/>
        <v>0</v>
      </c>
      <c r="W13" s="20">
        <v>2.1000000000000001E-2</v>
      </c>
      <c r="X13" s="20">
        <f t="shared" si="4"/>
        <v>33.42</v>
      </c>
      <c r="Y13" s="91">
        <f t="shared" si="5"/>
        <v>0</v>
      </c>
      <c r="Z13" s="20"/>
      <c r="AA13" s="20"/>
      <c r="AB13" s="20"/>
      <c r="AC13" s="91">
        <f t="shared" si="6"/>
        <v>0</v>
      </c>
      <c r="AD13" s="90">
        <f t="shared" si="7"/>
        <v>0</v>
      </c>
      <c r="AE13" s="92">
        <f t="shared" si="8"/>
        <v>0</v>
      </c>
      <c r="AF13" s="20">
        <v>14</v>
      </c>
      <c r="AG13" s="20">
        <v>13</v>
      </c>
      <c r="AH13" s="20">
        <v>13</v>
      </c>
      <c r="AI13" s="20">
        <f>3+10</f>
        <v>13</v>
      </c>
      <c r="AJ13" s="20">
        <v>1.6</v>
      </c>
      <c r="AK13" s="90">
        <f t="shared" si="9"/>
        <v>1.73</v>
      </c>
      <c r="AL13" s="90">
        <v>391.01</v>
      </c>
      <c r="AM13" s="90">
        <f t="shared" si="10"/>
        <v>676.45</v>
      </c>
      <c r="AN13" s="20">
        <v>14</v>
      </c>
      <c r="AO13" s="20">
        <v>13</v>
      </c>
      <c r="AP13" s="20">
        <v>14</v>
      </c>
      <c r="AQ13" s="20">
        <v>14</v>
      </c>
      <c r="AR13" s="20">
        <v>13</v>
      </c>
      <c r="AS13" s="20">
        <v>13</v>
      </c>
      <c r="AT13" s="20">
        <f t="shared" si="11"/>
        <v>1</v>
      </c>
      <c r="AU13" s="20">
        <v>1.6</v>
      </c>
      <c r="AV13" s="90">
        <f t="shared" si="12"/>
        <v>1.87</v>
      </c>
      <c r="AW13" s="90">
        <f>ROUND((187.84*6+189.92*6)/12,2)</f>
        <v>188.88</v>
      </c>
      <c r="AX13" s="90">
        <v>352.45</v>
      </c>
      <c r="AY13" s="90">
        <f t="shared" si="14"/>
        <v>3.71</v>
      </c>
      <c r="AZ13" s="90">
        <f t="shared" si="15"/>
        <v>729.89</v>
      </c>
      <c r="BA13" s="90">
        <f t="shared" si="16"/>
        <v>-377.44</v>
      </c>
      <c r="BB13" s="90">
        <v>352.45</v>
      </c>
      <c r="BC13" s="90">
        <v>3.71</v>
      </c>
      <c r="BD13" s="92">
        <f t="shared" si="17"/>
        <v>4229.3999999999996</v>
      </c>
      <c r="BE13" s="90"/>
      <c r="BF13" s="90">
        <f t="shared" si="18"/>
        <v>0</v>
      </c>
      <c r="BG13" s="90">
        <v>391.01</v>
      </c>
      <c r="BH13" s="90">
        <f t="shared" si="19"/>
        <v>731.19</v>
      </c>
      <c r="BI13" s="90">
        <f t="shared" si="20"/>
        <v>7.7</v>
      </c>
      <c r="BJ13" s="90">
        <f t="shared" ref="BJ13" si="495">BI13/AY13*100</f>
        <v>207.54716981132074</v>
      </c>
      <c r="BK13" s="90">
        <f t="shared" si="22"/>
        <v>731.19</v>
      </c>
      <c r="BL13" s="90">
        <f t="shared" si="23"/>
        <v>7.7</v>
      </c>
      <c r="BM13" s="90"/>
      <c r="BN13" s="90">
        <f t="shared" si="24"/>
        <v>0</v>
      </c>
      <c r="BO13" s="90">
        <f t="shared" si="25"/>
        <v>731.19</v>
      </c>
      <c r="BP13" s="90">
        <f t="shared" si="26"/>
        <v>7.6967368421052633</v>
      </c>
      <c r="BQ13" s="90"/>
      <c r="BR13" s="90">
        <f t="shared" si="27"/>
        <v>0</v>
      </c>
      <c r="BS13" s="90">
        <f t="shared" si="28"/>
        <v>731.19</v>
      </c>
      <c r="BT13" s="90">
        <f t="shared" si="29"/>
        <v>7.6967368421052633</v>
      </c>
      <c r="BU13" s="90"/>
      <c r="BV13" s="93">
        <v>1.4356370000000001</v>
      </c>
      <c r="BW13" s="90">
        <f t="shared" si="30"/>
        <v>136.385515</v>
      </c>
      <c r="BX13" s="90">
        <f t="shared" si="31"/>
        <v>144.56864590000001</v>
      </c>
      <c r="BY13" s="90"/>
      <c r="BZ13" s="90"/>
      <c r="CA13" s="90">
        <v>0.2651</v>
      </c>
      <c r="CB13" s="90">
        <f>I13*CA13</f>
        <v>25.1845</v>
      </c>
      <c r="CC13" s="90">
        <v>0.71072749999999996</v>
      </c>
      <c r="CD13" s="90">
        <f t="shared" si="32"/>
        <v>17.899316723749997</v>
      </c>
      <c r="CE13" s="90">
        <f t="shared" si="33"/>
        <v>27.06552852465628</v>
      </c>
      <c r="CF13" s="90">
        <v>26.422454289255441</v>
      </c>
      <c r="CG13" s="90">
        <v>26.422454289255441</v>
      </c>
      <c r="CH13" s="90">
        <f t="shared" si="34"/>
        <v>27.69</v>
      </c>
      <c r="CI13" s="90">
        <f t="shared" ref="CI13:CI14" si="496">CH13/($SP13-$HL13)*($SX13-$HN13)</f>
        <v>29.06065392666099</v>
      </c>
      <c r="CJ13" s="90">
        <f t="shared" si="35"/>
        <v>29.21</v>
      </c>
      <c r="CK13" s="90">
        <f t="shared" si="36"/>
        <v>30.896063648344832</v>
      </c>
      <c r="CL13" s="90">
        <f t="shared" si="37"/>
        <v>30.896063648344832</v>
      </c>
      <c r="CM13" s="94">
        <v>0.14899999999999999</v>
      </c>
      <c r="CN13" s="90">
        <f t="shared" si="38"/>
        <v>20.321441735000001</v>
      </c>
      <c r="CO13" s="90">
        <f t="shared" si="39"/>
        <v>21.540728239100002</v>
      </c>
      <c r="CP13" s="90"/>
      <c r="CQ13" s="90">
        <v>3.9538999999999998E-2</v>
      </c>
      <c r="CR13" s="90">
        <f>I13*CQ13</f>
        <v>3.7562049999999996</v>
      </c>
      <c r="CS13" s="90">
        <v>0.71072749999999996</v>
      </c>
      <c r="CT13" s="90">
        <f t="shared" si="40"/>
        <v>2.6696381891374994</v>
      </c>
      <c r="CU13" s="90">
        <f t="shared" si="41"/>
        <v>4.0367556859161997</v>
      </c>
      <c r="CV13" s="90">
        <v>8.1645714827415237</v>
      </c>
      <c r="CW13" s="90">
        <f t="shared" si="42"/>
        <v>8.56</v>
      </c>
      <c r="CX13" s="90">
        <f t="shared" ref="CX13:CX14" si="497">CW13/($SP13-$HL13)*($SX13-$HN13)</f>
        <v>8.9837196681913358</v>
      </c>
      <c r="CY13" s="90">
        <f t="shared" si="43"/>
        <v>9.0299999999999994</v>
      </c>
      <c r="CZ13" s="90">
        <f t="shared" si="44"/>
        <v>9.5511124893402588</v>
      </c>
      <c r="DA13" s="90">
        <f t="shared" si="45"/>
        <v>9.5511124893402588</v>
      </c>
      <c r="DB13" s="93">
        <v>1.4169099999999999</v>
      </c>
      <c r="DC13" s="90">
        <f t="shared" si="46"/>
        <v>134.60645</v>
      </c>
      <c r="DD13" s="90">
        <f t="shared" si="47"/>
        <v>142.68283700000001</v>
      </c>
      <c r="DE13" s="90"/>
      <c r="DF13" s="90"/>
      <c r="DG13" s="90">
        <v>0.16261999999999999</v>
      </c>
      <c r="DH13" s="90">
        <f>I13*DG13</f>
        <v>15.448899999999998</v>
      </c>
      <c r="DI13" s="90">
        <v>0.71072749999999996</v>
      </c>
      <c r="DJ13" s="90">
        <f t="shared" si="48"/>
        <v>10.979958074749998</v>
      </c>
      <c r="DK13" s="90">
        <f t="shared" si="49"/>
        <v>16.602777248885719</v>
      </c>
      <c r="DL13" s="90">
        <v>13.134309666118655</v>
      </c>
      <c r="DM13" s="90">
        <f t="shared" si="50"/>
        <v>13.76</v>
      </c>
      <c r="DN13" s="90">
        <f t="shared" ref="DN13:DN14" si="498">DM13/($SP13-$HL13)*($SX13-$HN13)</f>
        <v>14.441119466625322</v>
      </c>
      <c r="DO13" s="90">
        <f t="shared" si="51"/>
        <v>14.52</v>
      </c>
      <c r="DP13" s="90">
        <f t="shared" si="52"/>
        <v>15.3531901697806</v>
      </c>
      <c r="DQ13" s="90">
        <f t="shared" si="53"/>
        <v>15.3531901697806</v>
      </c>
      <c r="DR13" s="93">
        <v>5.6880149999999997E-2</v>
      </c>
      <c r="DS13" s="90">
        <f t="shared" si="54"/>
        <v>5.4036142499999995</v>
      </c>
      <c r="DT13" s="90">
        <f t="shared" si="55"/>
        <v>5.7278311049999999</v>
      </c>
      <c r="DU13" s="90"/>
      <c r="DV13" s="90">
        <v>6.1999999999999998E-3</v>
      </c>
      <c r="DW13" s="90">
        <f>I13*DV13</f>
        <v>0.58899999999999997</v>
      </c>
      <c r="DX13" s="90">
        <v>0.71072749999999996</v>
      </c>
      <c r="DY13" s="90">
        <f t="shared" si="56"/>
        <v>0.41861849749999996</v>
      </c>
      <c r="DZ13" s="90">
        <f t="shared" si="57"/>
        <v>0.63299236836238748</v>
      </c>
      <c r="EA13" s="90">
        <f t="shared" si="58"/>
        <v>0.66</v>
      </c>
      <c r="EB13" s="90">
        <f t="shared" ref="EB13:EB14" si="499">EA13/($SP13-$HL13)*($SX13-$HN13)</f>
        <v>0.69266997441662148</v>
      </c>
      <c r="EC13" s="90">
        <f t="shared" si="59"/>
        <v>0.7</v>
      </c>
      <c r="ED13" s="90">
        <f t="shared" si="60"/>
        <v>0.73641755174819734</v>
      </c>
      <c r="EE13" s="90">
        <f t="shared" si="61"/>
        <v>0.73641755174819734</v>
      </c>
      <c r="EF13" s="94">
        <v>0.85293354333000004</v>
      </c>
      <c r="EG13" s="90">
        <f t="shared" si="62"/>
        <v>64.822949293080001</v>
      </c>
      <c r="EH13" s="90">
        <f t="shared" si="63"/>
        <v>68.712326250664802</v>
      </c>
      <c r="EI13" s="90"/>
      <c r="EJ13" s="90">
        <v>0.58975</v>
      </c>
      <c r="EK13" s="90">
        <f t="shared" ref="EK13:EK14" si="500">$J13*EJ13</f>
        <v>44.820999999999998</v>
      </c>
      <c r="EL13" s="90">
        <v>0.71072749999999996</v>
      </c>
      <c r="EM13" s="90">
        <f t="shared" si="65"/>
        <v>31.855517277499995</v>
      </c>
      <c r="EN13" s="90">
        <f t="shared" si="66"/>
        <v>48.168677321512</v>
      </c>
      <c r="EO13" s="90">
        <v>46.976239950338709</v>
      </c>
      <c r="EP13" s="90">
        <f t="shared" si="67"/>
        <v>49.23</v>
      </c>
      <c r="EQ13" s="90">
        <f t="shared" ref="EQ13:EQ14" si="501">EP13/($SP13-$HL13)*($SX13-$HN13)</f>
        <v>51.666883091712542</v>
      </c>
      <c r="ER13" s="90">
        <f t="shared" si="68"/>
        <v>51.94</v>
      </c>
      <c r="ES13" s="90">
        <f t="shared" si="69"/>
        <v>54.93005465539963</v>
      </c>
      <c r="ET13" s="90">
        <f t="shared" si="70"/>
        <v>54.93005465539963</v>
      </c>
      <c r="EU13" s="94">
        <v>0.14899999999999999</v>
      </c>
      <c r="EV13" s="90">
        <f t="shared" si="71"/>
        <v>9.6586194446689202</v>
      </c>
      <c r="EW13" s="90">
        <f t="shared" si="72"/>
        <v>10.238136611349056</v>
      </c>
      <c r="EX13" s="90"/>
      <c r="EY13" s="90">
        <v>8.7870000000000004E-2</v>
      </c>
      <c r="EZ13" s="90">
        <f t="shared" ref="EZ13:EZ14" si="502">$J13*EY13</f>
        <v>6.6781199999999998</v>
      </c>
      <c r="FA13" s="90">
        <v>0.71072749999999996</v>
      </c>
      <c r="FB13" s="90">
        <f t="shared" si="74"/>
        <v>4.7463235322999999</v>
      </c>
      <c r="FC13" s="90">
        <f t="shared" si="75"/>
        <v>7.176908310710064</v>
      </c>
      <c r="FD13" s="90">
        <v>14.52581660119637</v>
      </c>
      <c r="FE13" s="90">
        <f t="shared" si="76"/>
        <v>15.22</v>
      </c>
      <c r="FF13" s="90">
        <f t="shared" ref="FF13:FF14" si="503">FE13/($SP13-$HL13)*($SX13-$HN13)</f>
        <v>15.973389410031787</v>
      </c>
      <c r="FG13" s="90">
        <f t="shared" si="77"/>
        <v>16.059999999999999</v>
      </c>
      <c r="FH13" s="90">
        <f t="shared" si="78"/>
        <v>16.982235056981157</v>
      </c>
      <c r="FI13" s="90">
        <f t="shared" si="79"/>
        <v>16.982235056981157</v>
      </c>
      <c r="FJ13" s="93">
        <v>0.49981642240000002</v>
      </c>
      <c r="FK13" s="90">
        <f t="shared" si="80"/>
        <v>37.986048102399998</v>
      </c>
      <c r="FL13" s="90">
        <f t="shared" si="81"/>
        <v>40.265210988543998</v>
      </c>
      <c r="FM13" s="90"/>
      <c r="FN13" s="90">
        <v>0.35812500000000003</v>
      </c>
      <c r="FO13" s="90">
        <f t="shared" ref="FO13:FO14" si="504">$J13*FN13</f>
        <v>27.217500000000001</v>
      </c>
      <c r="FP13" s="90">
        <v>0.71072749999999996</v>
      </c>
      <c r="FQ13" s="90">
        <f t="shared" si="83"/>
        <v>19.344225731249999</v>
      </c>
      <c r="FR13" s="90">
        <f t="shared" si="84"/>
        <v>29.25037315093936</v>
      </c>
      <c r="FS13" s="90">
        <v>23.058213084007257</v>
      </c>
      <c r="FT13" s="90">
        <f t="shared" si="85"/>
        <v>24.17</v>
      </c>
      <c r="FU13" s="90">
        <v>23.077628252968957</v>
      </c>
      <c r="FV13" s="90">
        <f t="shared" si="86"/>
        <v>24.19</v>
      </c>
      <c r="FW13" s="90">
        <f t="shared" ref="FW13:FW14" si="505">FV13/($SP13-$HL13)*($SX13-$HN13)</f>
        <v>25.387404062330418</v>
      </c>
      <c r="FX13" s="90">
        <f t="shared" si="87"/>
        <v>25.52</v>
      </c>
      <c r="FY13" s="90">
        <f t="shared" si="88"/>
        <v>26.990819055740751</v>
      </c>
      <c r="FZ13" s="90">
        <f t="shared" si="89"/>
        <v>26.990819055740751</v>
      </c>
      <c r="GA13" s="94">
        <v>1.352261642E-2</v>
      </c>
      <c r="GB13" s="90">
        <f t="shared" si="90"/>
        <v>1.0277188479199999</v>
      </c>
      <c r="GC13" s="90">
        <f t="shared" si="91"/>
        <v>1.0893819787951999</v>
      </c>
      <c r="GD13" s="90"/>
      <c r="GE13" s="90">
        <v>1.0749999999999999E-2</v>
      </c>
      <c r="GF13" s="90">
        <f t="shared" ref="GF13:GF14" si="506">$J13*GE13</f>
        <v>0.81699999999999995</v>
      </c>
      <c r="GG13" s="90">
        <v>0.71072749999999996</v>
      </c>
      <c r="GH13" s="90">
        <f t="shared" si="93"/>
        <v>0.58066436749999994</v>
      </c>
      <c r="GI13" s="90">
        <f t="shared" si="94"/>
        <v>0.87802167224460204</v>
      </c>
      <c r="GJ13" s="90">
        <f t="shared" si="95"/>
        <v>0.92</v>
      </c>
      <c r="GK13" s="90">
        <f t="shared" ref="GK13:GK14" si="507">GJ13/($SP13-$HL13)*($SX13-$HN13)</f>
        <v>0.9655399643383209</v>
      </c>
      <c r="GL13" s="90">
        <f t="shared" si="96"/>
        <v>0.97</v>
      </c>
      <c r="GM13" s="90">
        <f t="shared" si="97"/>
        <v>1.0265214357702144</v>
      </c>
      <c r="GN13" s="90">
        <f t="shared" si="98"/>
        <v>1.0265214357702144</v>
      </c>
      <c r="GO13" s="90"/>
      <c r="GP13" s="90">
        <f t="shared" si="99"/>
        <v>0</v>
      </c>
      <c r="GQ13" s="90"/>
      <c r="GR13" s="90">
        <f t="shared" si="100"/>
        <v>0</v>
      </c>
      <c r="GS13" s="90">
        <f t="shared" si="101"/>
        <v>0</v>
      </c>
      <c r="GT13" s="90">
        <f t="shared" si="102"/>
        <v>0</v>
      </c>
      <c r="GU13" s="90"/>
      <c r="GV13" s="90"/>
      <c r="GW13" s="90">
        <f t="shared" si="103"/>
        <v>0</v>
      </c>
      <c r="GX13" s="90">
        <f t="shared" si="104"/>
        <v>0</v>
      </c>
      <c r="GY13" s="90"/>
      <c r="GZ13" s="90"/>
      <c r="HA13" s="90">
        <f t="shared" si="105"/>
        <v>0</v>
      </c>
      <c r="HB13" s="90">
        <f t="shared" si="106"/>
        <v>0</v>
      </c>
      <c r="HC13" s="90"/>
      <c r="HD13" s="90"/>
      <c r="HE13" s="90">
        <f t="shared" si="107"/>
        <v>0</v>
      </c>
      <c r="HF13" s="90">
        <f t="shared" si="108"/>
        <v>0</v>
      </c>
      <c r="HG13" s="90"/>
      <c r="HH13" s="90"/>
      <c r="HI13" s="90">
        <v>0.96</v>
      </c>
      <c r="HJ13" s="90">
        <f t="shared" si="109"/>
        <v>91.2</v>
      </c>
      <c r="HK13" s="90">
        <f t="shared" si="110"/>
        <v>1.0061052631578946</v>
      </c>
      <c r="HL13" s="90">
        <f t="shared" si="111"/>
        <v>95.58</v>
      </c>
      <c r="HM13" s="90">
        <v>1.07</v>
      </c>
      <c r="HN13" s="90">
        <f t="shared" si="112"/>
        <v>101.65</v>
      </c>
      <c r="HO13" s="90">
        <v>1.1499999999999999</v>
      </c>
      <c r="HP13" s="90">
        <f t="shared" si="113"/>
        <v>109.25</v>
      </c>
      <c r="HQ13" s="90">
        <v>1.1499999999999999</v>
      </c>
      <c r="HR13" s="90">
        <f t="shared" si="114"/>
        <v>109.25</v>
      </c>
      <c r="HS13" s="90">
        <v>0.31919999999999998</v>
      </c>
      <c r="HT13" s="90">
        <f t="shared" ref="HT13" si="508">$I13*HS13</f>
        <v>30.323999999999998</v>
      </c>
      <c r="HU13" s="90" t="e">
        <f>HT13*#REF!</f>
        <v>#REF!</v>
      </c>
      <c r="HV13" s="90">
        <v>2.83</v>
      </c>
      <c r="HW13" s="90">
        <v>3.1</v>
      </c>
      <c r="HX13" s="90">
        <f t="shared" si="115"/>
        <v>294.5</v>
      </c>
      <c r="HY13" s="90">
        <v>1.06</v>
      </c>
      <c r="HZ13" s="90">
        <f t="shared" si="116"/>
        <v>312.17</v>
      </c>
      <c r="IA13" s="90">
        <f t="shared" si="117"/>
        <v>3.29</v>
      </c>
      <c r="IB13" s="90">
        <f t="shared" si="118"/>
        <v>3.45</v>
      </c>
      <c r="IC13" s="90">
        <f t="shared" si="119"/>
        <v>327.75</v>
      </c>
      <c r="ID13" s="90">
        <f t="shared" si="120"/>
        <v>3.64</v>
      </c>
      <c r="IE13" s="90">
        <f t="shared" si="121"/>
        <v>345.8</v>
      </c>
      <c r="IF13" s="90">
        <f t="shared" si="122"/>
        <v>3.64</v>
      </c>
      <c r="IG13" s="92">
        <f t="shared" si="123"/>
        <v>4149.6000000000004</v>
      </c>
      <c r="IH13" s="90">
        <v>3.91</v>
      </c>
      <c r="II13" s="90">
        <f t="shared" si="124"/>
        <v>4.1100000000000003</v>
      </c>
      <c r="IJ13" s="90">
        <f t="shared" si="125"/>
        <v>390.45</v>
      </c>
      <c r="IK13" s="90">
        <f t="shared" si="126"/>
        <v>4.1100000000000003</v>
      </c>
      <c r="IL13" s="90">
        <f t="shared" si="127"/>
        <v>390.45</v>
      </c>
      <c r="IM13" s="90">
        <f t="shared" si="128"/>
        <v>4.1100000000000003</v>
      </c>
      <c r="IN13" s="90">
        <f t="shared" si="129"/>
        <v>390.45</v>
      </c>
      <c r="IO13" s="90">
        <f t="shared" si="130"/>
        <v>4.1100000000000003</v>
      </c>
      <c r="IP13" s="93">
        <v>0.37052404126999999</v>
      </c>
      <c r="IQ13" s="90">
        <f t="shared" si="131"/>
        <v>28.159827136520001</v>
      </c>
      <c r="IR13" s="90">
        <f t="shared" si="132"/>
        <v>29.849416764711201</v>
      </c>
      <c r="IS13" s="90">
        <v>108693.96</v>
      </c>
      <c r="IT13" s="90">
        <v>3053.33</v>
      </c>
      <c r="IU13" s="94"/>
      <c r="IV13" s="94"/>
      <c r="IW13" s="94">
        <v>1.6976249999999999</v>
      </c>
      <c r="IX13" s="90">
        <f t="shared" ref="IX13:IX14" si="509">$J13*IW13</f>
        <v>129.01949999999999</v>
      </c>
      <c r="IY13" s="93">
        <v>0.56339614052999998</v>
      </c>
      <c r="IZ13" s="90">
        <f t="shared" si="134"/>
        <v>53.522633350349999</v>
      </c>
      <c r="JA13" s="90">
        <f t="shared" si="135"/>
        <v>56.09</v>
      </c>
      <c r="JB13" s="90">
        <f t="shared" ref="JB13:JB14" si="510">JA13/($SP13-$HL13)*($SX13-$HN13)</f>
        <v>58.866452825800458</v>
      </c>
      <c r="JC13" s="90">
        <f t="shared" si="136"/>
        <v>59.17</v>
      </c>
      <c r="JD13" s="90">
        <f t="shared" si="137"/>
        <v>62.584334056903629</v>
      </c>
      <c r="JE13" s="90">
        <f t="shared" si="138"/>
        <v>62.584334056903629</v>
      </c>
      <c r="JF13" s="93">
        <v>4.2278943710000003E-2</v>
      </c>
      <c r="JG13" s="90">
        <f t="shared" si="139"/>
        <v>3.2131997219600001</v>
      </c>
      <c r="JH13" s="90">
        <f t="shared" si="140"/>
        <v>3.4059917052776005</v>
      </c>
      <c r="JI13" s="20">
        <v>462.98</v>
      </c>
      <c r="JJ13" s="20"/>
      <c r="JK13" s="20">
        <v>6.0624999999999998E-2</v>
      </c>
      <c r="JL13" s="90">
        <f t="shared" ref="JL13:JL14" si="511">$J13*JK13</f>
        <v>4.6074999999999999</v>
      </c>
      <c r="JM13" s="93">
        <v>6.7347080040000007E-2</v>
      </c>
      <c r="JN13" s="90">
        <f t="shared" si="142"/>
        <v>6.3979726038000004</v>
      </c>
      <c r="JO13" s="90">
        <f t="shared" si="143"/>
        <v>6.71</v>
      </c>
      <c r="JP13" s="90">
        <f t="shared" ref="JP13:JP14" si="512">JO13/($SP13-$HL13)*($SX13-$HN13)</f>
        <v>7.0421447399023194</v>
      </c>
      <c r="JQ13" s="90">
        <f t="shared" si="144"/>
        <v>7.08</v>
      </c>
      <c r="JR13" s="90">
        <f t="shared" si="145"/>
        <v>7.4869117761066741</v>
      </c>
      <c r="JS13" s="90">
        <f t="shared" si="146"/>
        <v>7.4869117761066741</v>
      </c>
      <c r="JT13" s="93">
        <v>7.3220517000000002E-3</v>
      </c>
      <c r="JU13" s="90">
        <f t="shared" si="147"/>
        <v>0.5564759292</v>
      </c>
      <c r="JV13" s="90">
        <f t="shared" si="148"/>
        <v>0.57999999999999996</v>
      </c>
      <c r="JW13" s="90">
        <f t="shared" ref="JW13:JW14" si="513">JV13/($SP13-$HL13)*($SX13-$HN13)</f>
        <v>0.608709977517637</v>
      </c>
      <c r="JX13" s="90">
        <f t="shared" si="149"/>
        <v>0.61</v>
      </c>
      <c r="JY13" s="90">
        <f t="shared" si="150"/>
        <v>0.64715481820296117</v>
      </c>
      <c r="JZ13" s="90">
        <f t="shared" si="151"/>
        <v>0.64715481820296117</v>
      </c>
      <c r="KA13" s="90">
        <v>8.3090999999999998E-3</v>
      </c>
      <c r="KB13" s="90">
        <f t="shared" ref="KB13:KB14" si="514">$J13*KA13</f>
        <v>0.63149159999999993</v>
      </c>
      <c r="KC13" s="90" t="e">
        <f>KB13*#REF!</f>
        <v>#REF!</v>
      </c>
      <c r="KD13" s="90">
        <v>34406.519999999997</v>
      </c>
      <c r="KE13" s="90">
        <v>40292.97</v>
      </c>
      <c r="KF13" s="90"/>
      <c r="KG13" s="90">
        <f t="shared" ref="KG13:KG14" si="515">I13/KD13*KE13</f>
        <v>111.25310406283462</v>
      </c>
      <c r="KH13" s="90" t="e">
        <f>KG13/(BW13+#REF!)*(CB13+#REF!)</f>
        <v>#REF!</v>
      </c>
      <c r="KI13" s="90">
        <v>0.8</v>
      </c>
      <c r="KJ13" s="94"/>
      <c r="KK13" s="90">
        <f t="shared" si="154"/>
        <v>0</v>
      </c>
      <c r="KL13" s="93">
        <v>1.2690177</v>
      </c>
      <c r="KM13" s="90">
        <f t="shared" ref="KM13" si="516">$I13*KL13</f>
        <v>120.5566815</v>
      </c>
      <c r="KN13" s="90">
        <f t="shared" si="155"/>
        <v>127.79008239000001</v>
      </c>
      <c r="KO13" s="90" t="e">
        <f>BW13+CN13+DC13+DS13+EG13+EV13+FK13+GB13+#REF!+#REF!+HJ13+HX13+IQ13+JG13+JU13+KK13+KM13</f>
        <v>#REF!</v>
      </c>
      <c r="KP13" s="90"/>
      <c r="KQ13" s="90">
        <v>0.50815001599999998</v>
      </c>
      <c r="KR13" s="90">
        <f t="shared" ref="KR13:KR14" si="517">$I13*KQ13</f>
        <v>48.27425152</v>
      </c>
      <c r="KS13" s="90">
        <v>0.71072749999999996</v>
      </c>
      <c r="KT13" s="90">
        <f t="shared" si="156"/>
        <v>34.309838097180801</v>
      </c>
      <c r="KU13" s="90">
        <f t="shared" si="157"/>
        <v>51.879851953423412</v>
      </c>
      <c r="KV13" s="90">
        <f t="shared" si="158"/>
        <v>54.37</v>
      </c>
      <c r="KW13" s="90">
        <f t="shared" ref="KW13:KW14" si="518">KV13/($SP13-$HL13)*($SX13-$HN13)</f>
        <v>57.061312892472287</v>
      </c>
      <c r="KX13" s="90">
        <f t="shared" si="159"/>
        <v>57.36</v>
      </c>
      <c r="KY13" s="90">
        <f t="shared" si="160"/>
        <v>60.665185285681048</v>
      </c>
      <c r="KZ13" s="90">
        <f t="shared" si="161"/>
        <v>60.665185285681048</v>
      </c>
      <c r="LA13" s="90">
        <f t="shared" si="162"/>
        <v>372.40000000000009</v>
      </c>
      <c r="LB13" s="90">
        <f t="shared" si="163"/>
        <v>3.92</v>
      </c>
      <c r="LC13" s="92">
        <f t="shared" si="164"/>
        <v>4468.8000000000011</v>
      </c>
      <c r="LD13" s="92">
        <v>4.21</v>
      </c>
      <c r="LE13" s="92">
        <v>399.94999999999987</v>
      </c>
      <c r="LF13" s="90">
        <f t="shared" si="165"/>
        <v>4.18</v>
      </c>
      <c r="LG13" s="90">
        <f t="shared" si="166"/>
        <v>397.1</v>
      </c>
      <c r="LH13" s="90">
        <f t="shared" si="167"/>
        <v>400.3300000000001</v>
      </c>
      <c r="LI13" s="90">
        <f t="shared" si="168"/>
        <v>4.21</v>
      </c>
      <c r="LJ13" s="90">
        <f t="shared" si="169"/>
        <v>397.09999999999997</v>
      </c>
      <c r="LK13" s="90">
        <f t="shared" si="170"/>
        <v>4.18</v>
      </c>
      <c r="LL13" s="90">
        <f t="shared" si="171"/>
        <v>397.09999999999997</v>
      </c>
      <c r="LM13" s="90">
        <f t="shared" si="172"/>
        <v>4.18</v>
      </c>
      <c r="LN13" s="95">
        <v>0.46</v>
      </c>
      <c r="LO13" s="95">
        <f t="shared" si="173"/>
        <v>43.7</v>
      </c>
      <c r="LP13" s="95"/>
      <c r="LQ13" s="95">
        <f t="shared" si="174"/>
        <v>0</v>
      </c>
      <c r="LR13" s="90"/>
      <c r="LS13" s="90"/>
      <c r="LT13" s="90">
        <f t="shared" si="175"/>
        <v>0</v>
      </c>
      <c r="LU13" s="90"/>
      <c r="LV13" s="90">
        <f t="shared" si="176"/>
        <v>0</v>
      </c>
      <c r="LW13" s="90">
        <f t="shared" si="177"/>
        <v>0</v>
      </c>
      <c r="LX13" s="90"/>
      <c r="LY13" s="90"/>
      <c r="LZ13" s="90">
        <f t="shared" si="178"/>
        <v>0</v>
      </c>
      <c r="MA13" s="90"/>
      <c r="MB13" s="90">
        <f t="shared" si="179"/>
        <v>0</v>
      </c>
      <c r="MC13" s="90">
        <f t="shared" si="180"/>
        <v>0</v>
      </c>
      <c r="MD13" s="90"/>
      <c r="ME13" s="90"/>
      <c r="MF13" s="90">
        <f t="shared" si="181"/>
        <v>0</v>
      </c>
      <c r="MG13" s="90"/>
      <c r="MH13" s="90">
        <f t="shared" si="182"/>
        <v>0</v>
      </c>
      <c r="MI13" s="90">
        <f t="shared" si="183"/>
        <v>0</v>
      </c>
      <c r="MJ13" s="90"/>
      <c r="MK13" s="90"/>
      <c r="ML13" s="90">
        <f t="shared" si="184"/>
        <v>0</v>
      </c>
      <c r="MM13" s="90"/>
      <c r="MN13" s="90">
        <f t="shared" si="185"/>
        <v>0</v>
      </c>
      <c r="MO13" s="90">
        <f t="shared" si="186"/>
        <v>0</v>
      </c>
      <c r="MP13" s="90">
        <f t="shared" si="187"/>
        <v>0</v>
      </c>
      <c r="MQ13" s="90">
        <f t="shared" si="188"/>
        <v>0</v>
      </c>
      <c r="MR13" s="90">
        <f t="shared" si="189"/>
        <v>0</v>
      </c>
      <c r="MS13" s="90">
        <f t="shared" si="190"/>
        <v>0</v>
      </c>
      <c r="MT13" s="95"/>
      <c r="MU13" s="95">
        <f t="shared" si="191"/>
        <v>0</v>
      </c>
      <c r="MV13" s="92">
        <f t="shared" si="192"/>
        <v>0</v>
      </c>
      <c r="MW13" s="95"/>
      <c r="MX13" s="95">
        <f t="shared" si="193"/>
        <v>0</v>
      </c>
      <c r="MY13" s="95"/>
      <c r="MZ13" s="95">
        <f t="shared" si="194"/>
        <v>0</v>
      </c>
      <c r="NA13" s="95"/>
      <c r="NB13" s="95">
        <f t="shared" si="195"/>
        <v>0</v>
      </c>
      <c r="NC13" s="92">
        <f t="shared" si="196"/>
        <v>0</v>
      </c>
      <c r="ND13" s="95"/>
      <c r="NE13" s="95">
        <f t="shared" si="197"/>
        <v>0</v>
      </c>
      <c r="NF13" s="95"/>
      <c r="NG13" s="95">
        <f t="shared" si="198"/>
        <v>0</v>
      </c>
      <c r="NH13" s="95"/>
      <c r="NI13" s="95"/>
      <c r="NJ13" s="95">
        <f t="shared" si="199"/>
        <v>0</v>
      </c>
      <c r="NK13" s="92">
        <f t="shared" si="200"/>
        <v>0</v>
      </c>
      <c r="NL13" s="95"/>
      <c r="NM13" s="95">
        <f t="shared" si="201"/>
        <v>0</v>
      </c>
      <c r="NN13" s="95"/>
      <c r="NO13" s="95">
        <f t="shared" si="202"/>
        <v>0</v>
      </c>
      <c r="NP13" s="95"/>
      <c r="NQ13" s="95">
        <f t="shared" si="203"/>
        <v>0</v>
      </c>
      <c r="NR13" s="92">
        <f t="shared" si="204"/>
        <v>0</v>
      </c>
      <c r="NS13" s="95"/>
      <c r="NT13" s="95">
        <f t="shared" si="205"/>
        <v>0</v>
      </c>
      <c r="NU13" s="95"/>
      <c r="NV13" s="95">
        <f t="shared" si="206"/>
        <v>0</v>
      </c>
      <c r="NW13" s="95"/>
      <c r="NX13" s="95">
        <f t="shared" si="207"/>
        <v>0</v>
      </c>
      <c r="NY13" s="92">
        <f t="shared" si="208"/>
        <v>0</v>
      </c>
      <c r="NZ13" s="95"/>
      <c r="OA13" s="95">
        <f t="shared" si="209"/>
        <v>0</v>
      </c>
      <c r="OB13" s="95"/>
      <c r="OC13" s="95">
        <f t="shared" si="210"/>
        <v>0</v>
      </c>
      <c r="OD13" s="90">
        <v>554.79999999999995</v>
      </c>
      <c r="OE13" s="90">
        <f t="shared" si="211"/>
        <v>5.84</v>
      </c>
      <c r="OF13" s="92">
        <f t="shared" si="212"/>
        <v>6657.5999999999995</v>
      </c>
      <c r="OG13" s="96">
        <v>352.58</v>
      </c>
      <c r="OH13" s="96">
        <v>3.71</v>
      </c>
      <c r="OI13" s="90">
        <v>907.25</v>
      </c>
      <c r="OJ13" s="90">
        <f t="shared" si="213"/>
        <v>9.5500000000000007</v>
      </c>
      <c r="OK13" s="90">
        <f t="shared" si="214"/>
        <v>907.25</v>
      </c>
      <c r="OL13" s="90">
        <f t="shared" si="215"/>
        <v>9.5500000000000007</v>
      </c>
      <c r="OM13" s="90">
        <f t="shared" si="216"/>
        <v>0</v>
      </c>
      <c r="ON13" s="90">
        <v>554.79999999999995</v>
      </c>
      <c r="OO13" s="90">
        <f t="shared" si="217"/>
        <v>5.84</v>
      </c>
      <c r="OP13" s="90">
        <v>554.67000000000007</v>
      </c>
      <c r="OQ13" s="90">
        <v>5.84</v>
      </c>
      <c r="OR13" s="90">
        <f t="shared" si="218"/>
        <v>0</v>
      </c>
      <c r="OS13" s="90">
        <f t="shared" si="219"/>
        <v>5.8400000000000007</v>
      </c>
      <c r="OT13" s="90">
        <v>554.79999999999995</v>
      </c>
      <c r="OU13" s="90">
        <f t="shared" si="220"/>
        <v>5.84</v>
      </c>
      <c r="OV13" s="97">
        <v>459.8</v>
      </c>
      <c r="OW13" s="90">
        <f t="shared" si="221"/>
        <v>497.8</v>
      </c>
      <c r="OX13" s="90">
        <f t="shared" si="222"/>
        <v>5.24</v>
      </c>
      <c r="OY13" s="90">
        <f>OU13-1+0.4</f>
        <v>5.24</v>
      </c>
      <c r="OZ13" s="90"/>
      <c r="PA13" s="90"/>
      <c r="PB13" s="95">
        <f t="shared" si="223"/>
        <v>0</v>
      </c>
      <c r="PC13" s="92">
        <f t="shared" si="224"/>
        <v>0</v>
      </c>
      <c r="PD13" s="90"/>
      <c r="PE13" s="95">
        <f t="shared" si="225"/>
        <v>0</v>
      </c>
      <c r="PF13" s="90">
        <f t="shared" si="226"/>
        <v>1625.45</v>
      </c>
      <c r="PG13" s="90">
        <f t="shared" si="227"/>
        <v>17.11</v>
      </c>
      <c r="PH13" s="90">
        <f t="shared" si="228"/>
        <v>2060.2400000000002</v>
      </c>
      <c r="PI13" s="90">
        <f t="shared" si="229"/>
        <v>21.69</v>
      </c>
      <c r="PJ13" s="90">
        <f t="shared" si="230"/>
        <v>2060.2400000000002</v>
      </c>
      <c r="PK13" s="90">
        <f t="shared" si="231"/>
        <v>21.69</v>
      </c>
      <c r="PL13" s="90"/>
      <c r="PM13" s="90">
        <f t="shared" si="232"/>
        <v>48.76</v>
      </c>
      <c r="PN13" s="90">
        <f t="shared" si="233"/>
        <v>0.51</v>
      </c>
      <c r="PO13" s="92">
        <f t="shared" si="234"/>
        <v>585.12</v>
      </c>
      <c r="PP13" s="90">
        <f t="shared" si="235"/>
        <v>61.81</v>
      </c>
      <c r="PQ13" s="90">
        <f t="shared" si="236"/>
        <v>0.65</v>
      </c>
      <c r="PR13" s="90">
        <f t="shared" si="237"/>
        <v>61.81</v>
      </c>
      <c r="PS13" s="90">
        <f t="shared" si="238"/>
        <v>0.65</v>
      </c>
      <c r="PT13" s="90">
        <f t="shared" si="239"/>
        <v>1674.21</v>
      </c>
      <c r="PU13" s="90">
        <f t="shared" si="240"/>
        <v>17.62</v>
      </c>
      <c r="PV13" s="90">
        <f t="shared" si="241"/>
        <v>2122.0500000000002</v>
      </c>
      <c r="PW13" s="90">
        <f t="shared" si="242"/>
        <v>22.34</v>
      </c>
      <c r="PX13" s="90">
        <f t="shared" si="243"/>
        <v>2122.0500000000002</v>
      </c>
      <c r="PY13" s="90">
        <f t="shared" si="244"/>
        <v>22.34</v>
      </c>
      <c r="PZ13" s="90">
        <f t="shared" si="245"/>
        <v>16.91</v>
      </c>
      <c r="QA13" s="90">
        <f t="shared" si="246"/>
        <v>0.18</v>
      </c>
      <c r="QB13" s="92">
        <f t="shared" si="247"/>
        <v>202.92000000000002</v>
      </c>
      <c r="QC13" s="90">
        <f t="shared" si="248"/>
        <v>21.43</v>
      </c>
      <c r="QD13" s="90">
        <f t="shared" si="249"/>
        <v>0.23</v>
      </c>
      <c r="QE13" s="90">
        <f t="shared" si="250"/>
        <v>21.43</v>
      </c>
      <c r="QF13" s="90">
        <f t="shared" si="251"/>
        <v>0.23</v>
      </c>
      <c r="QG13" s="90">
        <f t="shared" si="252"/>
        <v>1691.1200000000001</v>
      </c>
      <c r="QH13" s="90">
        <f t="shared" si="253"/>
        <v>17.8</v>
      </c>
      <c r="QI13" s="92">
        <f t="shared" si="254"/>
        <v>20293.440000000002</v>
      </c>
      <c r="QJ13" s="90">
        <f t="shared" si="255"/>
        <v>74.861312892472284</v>
      </c>
      <c r="QK13" s="98">
        <f t="shared" si="256"/>
        <v>0.22244999999999995</v>
      </c>
      <c r="QL13" s="90">
        <f t="shared" si="257"/>
        <v>21.132749999999994</v>
      </c>
      <c r="QM13" s="90">
        <f t="shared" si="258"/>
        <v>0.14829999999999999</v>
      </c>
      <c r="QN13" s="90">
        <f t="shared" si="259"/>
        <v>14.088499999999998</v>
      </c>
      <c r="QO13" s="90">
        <v>0.22244999999999995</v>
      </c>
      <c r="QP13" s="90">
        <v>0.14829999999999999</v>
      </c>
      <c r="QQ13" s="97">
        <f t="shared" si="260"/>
        <v>35.221249999999991</v>
      </c>
      <c r="QR13" s="97">
        <v>35.221249999999991</v>
      </c>
      <c r="QS13" s="97">
        <f t="shared" si="261"/>
        <v>0</v>
      </c>
      <c r="QT13" s="90"/>
      <c r="QU13" s="90">
        <f t="shared" si="262"/>
        <v>0.14829999999999999</v>
      </c>
      <c r="QV13" s="90">
        <f t="shared" si="263"/>
        <v>14.088499999999998</v>
      </c>
      <c r="QW13" s="90">
        <f t="shared" si="264"/>
        <v>35.221249999999991</v>
      </c>
      <c r="QX13" s="90">
        <f t="shared" si="265"/>
        <v>0.37074999999999991</v>
      </c>
      <c r="QY13" s="90"/>
      <c r="QZ13" s="90"/>
      <c r="RA13" s="90"/>
      <c r="RB13" s="90">
        <v>353.55999999999995</v>
      </c>
      <c r="RC13" s="97">
        <f t="shared" si="266"/>
        <v>1691.1200000000001</v>
      </c>
      <c r="RD13" s="97">
        <f t="shared" si="267"/>
        <v>17.8</v>
      </c>
      <c r="RE13" s="90">
        <f t="shared" si="268"/>
        <v>2143.48</v>
      </c>
      <c r="RF13" s="90">
        <f t="shared" si="269"/>
        <v>22.56</v>
      </c>
      <c r="RG13" s="90">
        <f t="shared" si="270"/>
        <v>126.74157303370785</v>
      </c>
      <c r="RH13" s="90">
        <f t="shared" si="271"/>
        <v>2143.48</v>
      </c>
      <c r="RI13" s="90">
        <f t="shared" si="272"/>
        <v>22.56</v>
      </c>
      <c r="RJ13" s="90">
        <v>22.15</v>
      </c>
      <c r="RK13" s="90">
        <v>0</v>
      </c>
      <c r="RL13" s="90">
        <f t="shared" si="273"/>
        <v>0.41000000000000014</v>
      </c>
      <c r="RM13" s="90">
        <f t="shared" si="274"/>
        <v>105.12342803912435</v>
      </c>
      <c r="RN13" s="90">
        <f t="shared" si="275"/>
        <v>1070.6500000000001</v>
      </c>
      <c r="RO13" s="90"/>
      <c r="RP13" s="90"/>
      <c r="RQ13" s="99">
        <v>556</v>
      </c>
      <c r="RR13" s="90">
        <f t="shared" si="276"/>
        <v>1136.3200000000002</v>
      </c>
      <c r="RS13" s="90">
        <f t="shared" si="277"/>
        <v>11.961263157894738</v>
      </c>
      <c r="RT13" s="90">
        <v>11.53</v>
      </c>
      <c r="RU13" s="90">
        <f t="shared" si="278"/>
        <v>1095.3499999999999</v>
      </c>
      <c r="RV13" s="90">
        <f t="shared" si="279"/>
        <v>0.78801381992076092</v>
      </c>
      <c r="RW13" s="90">
        <v>10.43</v>
      </c>
      <c r="RX13" s="90">
        <f t="shared" si="280"/>
        <v>10.951499999999999</v>
      </c>
      <c r="RY13" s="90">
        <f t="shared" si="281"/>
        <v>1040.3924999999999</v>
      </c>
      <c r="RZ13" s="90">
        <f t="shared" si="282"/>
        <v>274.48118237421829</v>
      </c>
      <c r="SA13" s="90">
        <f t="shared" si="283"/>
        <v>122.80410049086831</v>
      </c>
      <c r="SB13" s="90">
        <f t="shared" si="284"/>
        <v>185.69188623665005</v>
      </c>
      <c r="SC13" s="90">
        <f t="shared" si="285"/>
        <v>337.36896812000009</v>
      </c>
      <c r="SD13" s="90">
        <f t="shared" si="286"/>
        <v>337.36896812000003</v>
      </c>
      <c r="SE13" s="90">
        <f t="shared" si="287"/>
        <v>342.45040216663585</v>
      </c>
      <c r="SF13" s="90">
        <f t="shared" si="288"/>
        <v>337.34955295103839</v>
      </c>
      <c r="SG13" s="90">
        <f t="shared" si="289"/>
        <v>1.9415168961700147E-2</v>
      </c>
      <c r="SH13" s="90">
        <f t="shared" si="290"/>
        <v>337.36896812000009</v>
      </c>
      <c r="SI13" s="90">
        <f t="shared" si="291"/>
        <v>3.5512522960000004</v>
      </c>
      <c r="SJ13" s="90">
        <f t="shared" si="292"/>
        <v>3.551047925800404</v>
      </c>
      <c r="SK13" s="90"/>
      <c r="SL13" s="90"/>
      <c r="SM13" s="90"/>
      <c r="SN13" s="90">
        <f t="shared" si="293"/>
        <v>361.18999999999994</v>
      </c>
      <c r="SO13" s="90" t="e">
        <f>RU13-#REF!-#REF!-HZ13-LT13-LZ13-MF13-ML13-QL13-QN13-SD13</f>
        <v>#REF!</v>
      </c>
      <c r="SP13" s="90">
        <f t="shared" si="294"/>
        <v>353.55999999999995</v>
      </c>
      <c r="SQ13" s="90">
        <f t="shared" si="295"/>
        <v>372.40000000000009</v>
      </c>
      <c r="SR13" s="90">
        <f t="shared" si="296"/>
        <v>3.7216842105263153</v>
      </c>
      <c r="SS13" s="90">
        <f t="shared" si="297"/>
        <v>3.9200000000000008</v>
      </c>
      <c r="ST13" s="90">
        <f t="shared" si="298"/>
        <v>373.82000000000005</v>
      </c>
      <c r="SU13" s="90">
        <v>3.7216842105263153</v>
      </c>
      <c r="SV13" s="90">
        <f t="shared" si="299"/>
        <v>3.93</v>
      </c>
      <c r="SW13" s="90">
        <v>3.92</v>
      </c>
      <c r="SX13" s="90">
        <f t="shared" si="300"/>
        <v>372.4</v>
      </c>
      <c r="SY13" s="90">
        <v>3.7216842105263153</v>
      </c>
      <c r="SZ13" s="90">
        <f t="shared" si="301"/>
        <v>353.55999999999995</v>
      </c>
      <c r="TA13" s="90">
        <f t="shared" si="302"/>
        <v>0</v>
      </c>
      <c r="TB13" s="90">
        <v>0</v>
      </c>
      <c r="TC13" s="90">
        <f t="shared" si="303"/>
        <v>26.36874999999992</v>
      </c>
      <c r="TD13" s="90" t="e">
        <f>#REF!+#REF!</f>
        <v>#REF!</v>
      </c>
      <c r="TE13" s="90" t="e">
        <f t="shared" si="304"/>
        <v>#REF!</v>
      </c>
      <c r="TF13" s="90">
        <v>8.8687499999999204</v>
      </c>
      <c r="TG13" s="90">
        <f t="shared" si="305"/>
        <v>2.407335554845476</v>
      </c>
      <c r="TH13" s="95"/>
      <c r="TI13" s="95"/>
      <c r="TJ13" s="95"/>
      <c r="TK13" s="95"/>
      <c r="TL13" s="95"/>
      <c r="TM13" s="95">
        <f t="shared" si="306"/>
        <v>0</v>
      </c>
      <c r="TN13" s="95">
        <f t="shared" si="307"/>
        <v>1095.3499999999999</v>
      </c>
      <c r="TO13" s="95">
        <f t="shared" si="308"/>
        <v>2.407335554845476</v>
      </c>
      <c r="TP13" s="95"/>
      <c r="TQ13" s="95">
        <f t="shared" si="309"/>
        <v>14.829999999999998</v>
      </c>
      <c r="TR13" s="95"/>
      <c r="TS13" s="95"/>
      <c r="TT13" s="95"/>
      <c r="TU13" s="95"/>
      <c r="TV13" s="95"/>
      <c r="TW13" s="95"/>
      <c r="TX13" s="95"/>
      <c r="TY13" s="95"/>
      <c r="TZ13" s="95">
        <f t="shared" si="310"/>
        <v>2.5</v>
      </c>
      <c r="UA13" s="95">
        <f t="shared" si="311"/>
        <v>0.65251999999999999</v>
      </c>
      <c r="UB13" s="90">
        <v>3.3</v>
      </c>
      <c r="UC13" s="90">
        <f t="shared" si="312"/>
        <v>313.5</v>
      </c>
      <c r="UD13" s="90">
        <f t="shared" si="313"/>
        <v>3.1666666666666665</v>
      </c>
      <c r="UE13" s="90">
        <f t="shared" si="314"/>
        <v>310.33333333333331</v>
      </c>
      <c r="UF13" s="90">
        <f t="shared" si="315"/>
        <v>1408.85</v>
      </c>
      <c r="UG13" s="91">
        <f t="shared" si="316"/>
        <v>22.252191503708698</v>
      </c>
      <c r="UH13" s="95">
        <f t="shared" si="317"/>
        <v>1.8716506370443924</v>
      </c>
      <c r="UI13" s="95">
        <f t="shared" si="318"/>
        <v>1408.85</v>
      </c>
      <c r="UJ13" s="101">
        <f t="shared" si="319"/>
        <v>22.252191503708698</v>
      </c>
      <c r="UK13" s="101">
        <f t="shared" si="320"/>
        <v>1.8716506370443924</v>
      </c>
      <c r="UL13" s="90" t="e">
        <f>(#REF!+#REF!+HZ13+LT13+LZ13+MF13+ML13+QL13+QN13+SN13+TC13+TM13+UC13)/I13</f>
        <v>#REF!</v>
      </c>
      <c r="UN13" s="90" t="e">
        <f>#REF!/I13</f>
        <v>#REF!</v>
      </c>
      <c r="UO13" s="90" t="e">
        <f>#REF!/I13</f>
        <v>#REF!</v>
      </c>
      <c r="UP13" s="90">
        <v>1.1499999999999999</v>
      </c>
      <c r="UQ13" s="90" t="e">
        <f t="shared" si="321"/>
        <v>#REF!</v>
      </c>
      <c r="UR13" s="90">
        <f t="shared" si="322"/>
        <v>1136.3200000000002</v>
      </c>
      <c r="US13" s="90">
        <f t="shared" si="323"/>
        <v>1601.98</v>
      </c>
      <c r="UT13" s="90">
        <f t="shared" si="324"/>
        <v>1601.98</v>
      </c>
      <c r="UU13" s="90">
        <f t="shared" si="325"/>
        <v>1645.68</v>
      </c>
      <c r="UV13" s="90">
        <f t="shared" si="326"/>
        <v>1601.98</v>
      </c>
      <c r="UW13" s="90">
        <f t="shared" si="327"/>
        <v>7.63</v>
      </c>
      <c r="UX13" s="90">
        <f t="shared" si="328"/>
        <v>3.92</v>
      </c>
      <c r="UY13" s="90">
        <f t="shared" si="329"/>
        <v>3.8019999999999992</v>
      </c>
      <c r="UZ13" s="100">
        <f t="shared" si="330"/>
        <v>3.5512522960000004</v>
      </c>
      <c r="VA13" s="90">
        <f t="shared" si="331"/>
        <v>0</v>
      </c>
      <c r="VB13" s="90">
        <f t="shared" si="332"/>
        <v>3.71</v>
      </c>
      <c r="VC13" s="90">
        <f t="shared" si="333"/>
        <v>0</v>
      </c>
      <c r="VD13" s="90">
        <f t="shared" si="334"/>
        <v>0</v>
      </c>
      <c r="VE13" s="90">
        <f t="shared" si="335"/>
        <v>0</v>
      </c>
      <c r="VF13" s="90">
        <f t="shared" si="336"/>
        <v>0</v>
      </c>
      <c r="VG13" s="90">
        <f t="shared" si="337"/>
        <v>0</v>
      </c>
      <c r="VH13" s="90">
        <f t="shared" si="338"/>
        <v>0</v>
      </c>
      <c r="VI13" s="90">
        <f t="shared" si="339"/>
        <v>0</v>
      </c>
      <c r="VJ13" s="90">
        <f t="shared" si="340"/>
        <v>0</v>
      </c>
      <c r="VK13" s="90">
        <f t="shared" si="341"/>
        <v>0</v>
      </c>
      <c r="VL13" s="90">
        <f t="shared" si="342"/>
        <v>3.64</v>
      </c>
      <c r="VM13" s="90">
        <f t="shared" si="343"/>
        <v>5.84</v>
      </c>
      <c r="VN13" s="90">
        <f t="shared" si="344"/>
        <v>0</v>
      </c>
      <c r="VO13" s="90">
        <f t="shared" si="345"/>
        <v>5.84</v>
      </c>
      <c r="VP13" s="97">
        <v>3.3</v>
      </c>
      <c r="VQ13" s="97">
        <v>5.84</v>
      </c>
      <c r="VR13" s="90">
        <f t="shared" si="346"/>
        <v>0.51</v>
      </c>
      <c r="VS13" s="90">
        <f t="shared" si="347"/>
        <v>0.18</v>
      </c>
      <c r="VT13" s="90">
        <v>0.11989898989898991</v>
      </c>
      <c r="VU13" s="90">
        <f t="shared" si="348"/>
        <v>0.17800000000000002</v>
      </c>
      <c r="VV13" s="90">
        <v>0.38175323599898991</v>
      </c>
      <c r="VW13" s="90">
        <f t="shared" si="349"/>
        <v>0.69</v>
      </c>
      <c r="VX13" s="90">
        <f t="shared" si="350"/>
        <v>17.8</v>
      </c>
      <c r="VY13" s="90">
        <f t="shared" si="351"/>
        <v>17.8</v>
      </c>
      <c r="VZ13" s="90">
        <f t="shared" si="352"/>
        <v>0</v>
      </c>
      <c r="WA13" s="90"/>
      <c r="WB13" s="90">
        <f t="shared" si="353"/>
        <v>17.8</v>
      </c>
      <c r="WC13" s="90">
        <f t="shared" si="354"/>
        <v>0</v>
      </c>
      <c r="WD13" s="90"/>
      <c r="WE13" s="90">
        <v>17.8</v>
      </c>
      <c r="WF13" s="90"/>
      <c r="WG13" s="90">
        <f t="shared" si="355"/>
        <v>1691</v>
      </c>
      <c r="WH13" s="90">
        <f t="shared" si="356"/>
        <v>1691</v>
      </c>
      <c r="WI13" s="90">
        <f t="shared" si="357"/>
        <v>1691.1200000000001</v>
      </c>
      <c r="WJ13" s="90">
        <f t="shared" si="358"/>
        <v>1136.3200000000002</v>
      </c>
      <c r="WK13" s="97">
        <v>554.79999999999995</v>
      </c>
      <c r="WL13" s="97">
        <v>5.84</v>
      </c>
      <c r="WM13" s="90">
        <f t="shared" si="359"/>
        <v>554.79999999999995</v>
      </c>
      <c r="WN13" s="90">
        <f t="shared" si="360"/>
        <v>5.84</v>
      </c>
      <c r="WO13" s="90"/>
      <c r="WP13" s="97">
        <v>17.8</v>
      </c>
      <c r="WQ13" s="90">
        <f t="shared" si="361"/>
        <v>17.8</v>
      </c>
      <c r="WR13" s="91">
        <f t="shared" si="362"/>
        <v>120.02697235333785</v>
      </c>
      <c r="WS13" s="91">
        <f t="shared" si="363"/>
        <v>154.3798785776236</v>
      </c>
      <c r="WT13" s="90">
        <f t="shared" si="364"/>
        <v>1691</v>
      </c>
      <c r="WU13" s="90">
        <f t="shared" si="365"/>
        <v>1691.1200000000001</v>
      </c>
      <c r="WV13" s="90">
        <f t="shared" si="366"/>
        <v>-0.12000000000011823</v>
      </c>
      <c r="WW13" s="90"/>
      <c r="WX13" s="90"/>
      <c r="WY13" s="90"/>
      <c r="WZ13" s="90">
        <f t="shared" si="367"/>
        <v>3.7812161616161615</v>
      </c>
      <c r="XA13" s="90">
        <v>3.3</v>
      </c>
      <c r="XB13" s="90">
        <f t="shared" si="368"/>
        <v>7.0812161616161617</v>
      </c>
      <c r="XC13" s="90">
        <f t="shared" si="369"/>
        <v>0.47039999999999998</v>
      </c>
      <c r="XD13" s="90">
        <f t="shared" si="370"/>
        <v>0.15838383838383838</v>
      </c>
      <c r="XE13" s="90"/>
      <c r="XF13" s="90">
        <f t="shared" si="371"/>
        <v>15.68</v>
      </c>
      <c r="XG13" s="90">
        <v>3.3933552631578938</v>
      </c>
      <c r="XH13" s="20">
        <v>11.53</v>
      </c>
      <c r="XI13" s="20">
        <v>3.3</v>
      </c>
      <c r="XJ13" s="20"/>
      <c r="XK13" s="20"/>
      <c r="XL13" s="20"/>
      <c r="XM13" s="20">
        <f t="shared" si="372"/>
        <v>14.829999999999998</v>
      </c>
      <c r="XN13" s="91">
        <f t="shared" si="373"/>
        <v>120.02697235333785</v>
      </c>
      <c r="XO13" s="20">
        <f t="shared" si="374"/>
        <v>11.53</v>
      </c>
      <c r="XP13" s="90">
        <f t="shared" si="375"/>
        <v>11.53</v>
      </c>
      <c r="XQ13" s="91">
        <f t="shared" si="376"/>
        <v>154.3798785776236</v>
      </c>
      <c r="XR13" s="102"/>
      <c r="XS13" s="90">
        <f t="shared" si="377"/>
        <v>3.64</v>
      </c>
      <c r="XT13" s="90">
        <f t="shared" si="378"/>
        <v>7.63</v>
      </c>
      <c r="XU13" s="90">
        <f t="shared" si="379"/>
        <v>3.92</v>
      </c>
      <c r="XV13" s="90">
        <f t="shared" si="380"/>
        <v>0</v>
      </c>
      <c r="XW13" s="90">
        <f t="shared" si="381"/>
        <v>0</v>
      </c>
      <c r="XX13" s="90">
        <f t="shared" si="382"/>
        <v>0</v>
      </c>
      <c r="XY13" s="90">
        <f t="shared" si="383"/>
        <v>3.71</v>
      </c>
      <c r="XZ13" s="90">
        <f t="shared" si="384"/>
        <v>0</v>
      </c>
      <c r="YA13" s="90">
        <f t="shared" si="385"/>
        <v>0</v>
      </c>
      <c r="YB13" s="90">
        <f t="shared" si="386"/>
        <v>0</v>
      </c>
      <c r="YC13" s="90">
        <f t="shared" si="386"/>
        <v>0</v>
      </c>
      <c r="YD13" s="90">
        <f t="shared" si="387"/>
        <v>3.71</v>
      </c>
      <c r="YE13" s="90">
        <f t="shared" si="388"/>
        <v>5.84</v>
      </c>
      <c r="YF13" s="90">
        <f t="shared" si="389"/>
        <v>0.69</v>
      </c>
      <c r="YG13" s="90">
        <f t="shared" si="390"/>
        <v>17.8</v>
      </c>
      <c r="YI13" s="103" t="s">
        <v>442</v>
      </c>
      <c r="YK13" s="90">
        <f t="shared" si="391"/>
        <v>1.07</v>
      </c>
      <c r="YL13" s="90">
        <f t="shared" si="392"/>
        <v>0</v>
      </c>
      <c r="YM13" s="90">
        <f t="shared" si="392"/>
        <v>3.71</v>
      </c>
      <c r="YN13" s="90">
        <f t="shared" si="393"/>
        <v>3.64</v>
      </c>
      <c r="YO13" s="90">
        <f t="shared" si="394"/>
        <v>9.379999999999999</v>
      </c>
      <c r="YP13" s="90">
        <f t="shared" si="395"/>
        <v>0</v>
      </c>
      <c r="YQ13" s="90">
        <f t="shared" si="396"/>
        <v>17.8</v>
      </c>
      <c r="YR13" s="90">
        <f t="shared" si="397"/>
        <v>0</v>
      </c>
      <c r="YS13" s="104">
        <f t="shared" si="398"/>
        <v>17.799999999999997</v>
      </c>
      <c r="YT13" s="104">
        <f t="shared" si="399"/>
        <v>0</v>
      </c>
      <c r="YY13" s="90">
        <f t="shared" si="400"/>
        <v>11.879999999999999</v>
      </c>
      <c r="YZ13" s="90">
        <f t="shared" si="401"/>
        <v>4.18</v>
      </c>
      <c r="ZA13" s="90">
        <f t="shared" si="402"/>
        <v>0</v>
      </c>
      <c r="ZB13" s="90">
        <f t="shared" si="403"/>
        <v>7.7</v>
      </c>
      <c r="ZC13" s="90">
        <f t="shared" si="404"/>
        <v>0</v>
      </c>
      <c r="ZD13" s="90">
        <f t="shared" si="405"/>
        <v>0</v>
      </c>
      <c r="ZE13" s="90">
        <f t="shared" si="406"/>
        <v>0</v>
      </c>
      <c r="ZF13" s="90">
        <f t="shared" si="407"/>
        <v>0</v>
      </c>
      <c r="ZG13" s="90">
        <f t="shared" si="408"/>
        <v>0</v>
      </c>
      <c r="ZH13" s="90">
        <f t="shared" si="409"/>
        <v>0</v>
      </c>
      <c r="ZI13" s="90">
        <f t="shared" si="410"/>
        <v>0</v>
      </c>
      <c r="ZJ13" s="90">
        <f t="shared" si="411"/>
        <v>0</v>
      </c>
      <c r="ZK13" s="90">
        <f t="shared" si="412"/>
        <v>0</v>
      </c>
      <c r="ZL13" s="90">
        <f t="shared" si="413"/>
        <v>0.12</v>
      </c>
      <c r="ZM13" s="90">
        <f t="shared" si="414"/>
        <v>4.1100000000000003</v>
      </c>
      <c r="ZN13" s="90">
        <f t="shared" si="415"/>
        <v>12.940000000000001</v>
      </c>
      <c r="ZO13" s="90">
        <f t="shared" si="416"/>
        <v>9.5500000000000007</v>
      </c>
      <c r="ZP13" s="90">
        <f t="shared" si="417"/>
        <v>5.24</v>
      </c>
      <c r="ZQ13" s="90">
        <f t="shared" si="418"/>
        <v>0</v>
      </c>
      <c r="ZR13" s="90">
        <f t="shared" si="419"/>
        <v>5.24</v>
      </c>
      <c r="ZS13" s="97">
        <v>227</v>
      </c>
      <c r="ZT13" s="97">
        <v>230.38</v>
      </c>
      <c r="ZU13" s="90">
        <f t="shared" si="420"/>
        <v>0.65</v>
      </c>
      <c r="ZV13" s="90">
        <f t="shared" si="421"/>
        <v>0.23</v>
      </c>
      <c r="ZW13" s="90">
        <v>0.11989898989898991</v>
      </c>
      <c r="ZX13" s="90">
        <f t="shared" si="422"/>
        <v>0.22109999999999996</v>
      </c>
      <c r="ZY13" s="90">
        <v>0.38175323599898991</v>
      </c>
      <c r="ZZ13" s="90">
        <f t="shared" si="423"/>
        <v>0.88</v>
      </c>
      <c r="AAA13" s="90">
        <f t="shared" si="424"/>
        <v>22.109999999999996</v>
      </c>
      <c r="AAB13" s="90">
        <f t="shared" si="425"/>
        <v>22.109999999999996</v>
      </c>
      <c r="AAC13" s="90">
        <f t="shared" si="426"/>
        <v>0</v>
      </c>
      <c r="AAD13" s="90"/>
      <c r="AAE13" s="90">
        <f t="shared" si="427"/>
        <v>22.109999999999996</v>
      </c>
      <c r="AAF13" s="90">
        <v>17.8</v>
      </c>
      <c r="AAG13" s="90">
        <f t="shared" si="428"/>
        <v>124.21348314606739</v>
      </c>
      <c r="AAH13" s="90">
        <f t="shared" si="429"/>
        <v>0</v>
      </c>
      <c r="AAI13" s="90">
        <v>0</v>
      </c>
      <c r="AAJ13" s="90"/>
      <c r="AAK13" s="1">
        <v>21.47</v>
      </c>
      <c r="AAL13" s="104">
        <f t="shared" si="430"/>
        <v>0.63999999999999702</v>
      </c>
      <c r="AAM13" s="103" t="s">
        <v>483</v>
      </c>
      <c r="AAN13" s="105">
        <v>11.89</v>
      </c>
      <c r="AAO13" s="90">
        <f t="shared" si="431"/>
        <v>12.34</v>
      </c>
      <c r="AAP13" s="90">
        <v>4.21</v>
      </c>
      <c r="AAQ13" s="90">
        <f t="shared" si="432"/>
        <v>4.18</v>
      </c>
      <c r="AAR13" s="90">
        <v>0</v>
      </c>
      <c r="AAS13" s="90">
        <f t="shared" si="433"/>
        <v>0</v>
      </c>
      <c r="AAT13" s="90"/>
      <c r="AAU13" s="90">
        <v>7.68</v>
      </c>
      <c r="AAV13" s="90">
        <f t="shared" si="434"/>
        <v>7.7</v>
      </c>
      <c r="AAW13" s="90">
        <f t="shared" ref="AAW13" si="519">AAV13/AAU13*100</f>
        <v>100.26041666666667</v>
      </c>
      <c r="AAX13" s="90">
        <f t="shared" si="436"/>
        <v>0.46</v>
      </c>
      <c r="AAY13" s="90">
        <f t="shared" si="437"/>
        <v>0</v>
      </c>
      <c r="AAZ13" s="90">
        <f t="shared" si="438"/>
        <v>0</v>
      </c>
      <c r="ABA13" s="90">
        <f t="shared" si="439"/>
        <v>0</v>
      </c>
      <c r="ABB13" s="90">
        <f t="shared" si="440"/>
        <v>0</v>
      </c>
      <c r="ABC13" s="90">
        <v>0</v>
      </c>
      <c r="ABD13" s="90">
        <f t="shared" si="441"/>
        <v>0</v>
      </c>
      <c r="ABE13" s="90"/>
      <c r="ABF13" s="90">
        <v>0</v>
      </c>
      <c r="ABG13" s="90">
        <f t="shared" si="442"/>
        <v>0</v>
      </c>
      <c r="ABH13" s="90"/>
      <c r="ABI13" s="90">
        <f t="shared" si="443"/>
        <v>0</v>
      </c>
      <c r="ABJ13" s="90">
        <f t="shared" si="444"/>
        <v>0</v>
      </c>
      <c r="ABK13" s="90">
        <v>0</v>
      </c>
      <c r="ABL13" s="90">
        <f t="shared" si="445"/>
        <v>0</v>
      </c>
      <c r="ABM13" s="90">
        <f t="shared" si="446"/>
        <v>0</v>
      </c>
      <c r="ABN13" s="90">
        <f t="shared" si="447"/>
        <v>0.02</v>
      </c>
      <c r="ABO13" s="90">
        <v>3.91</v>
      </c>
      <c r="ABP13" s="90">
        <f t="shared" si="448"/>
        <v>4.1100000000000003</v>
      </c>
      <c r="ABQ13" s="90">
        <f t="shared" si="449"/>
        <v>105.1150895140665</v>
      </c>
      <c r="ABR13" s="90">
        <f t="shared" si="450"/>
        <v>12.940000000000001</v>
      </c>
      <c r="ABS13" s="90">
        <f t="shared" si="451"/>
        <v>9.5500000000000007</v>
      </c>
      <c r="ABT13" s="90">
        <v>4.84</v>
      </c>
      <c r="ABU13" s="90">
        <f t="shared" si="452"/>
        <v>5.24</v>
      </c>
      <c r="ABV13" s="90">
        <f t="shared" si="453"/>
        <v>108.26446280991738</v>
      </c>
      <c r="ABW13" s="90">
        <f t="shared" si="454"/>
        <v>0.03</v>
      </c>
      <c r="ABX13" s="90">
        <f t="shared" si="455"/>
        <v>5.2700000000000005</v>
      </c>
      <c r="ABY13" s="97">
        <v>227</v>
      </c>
      <c r="ABZ13" s="97">
        <v>230.38</v>
      </c>
      <c r="ACA13" s="90">
        <f t="shared" si="456"/>
        <v>0.65</v>
      </c>
      <c r="ACB13" s="90">
        <f t="shared" si="457"/>
        <v>0.23</v>
      </c>
      <c r="ACC13" s="90">
        <v>0.11989898989898991</v>
      </c>
      <c r="ACD13" s="90">
        <f t="shared" si="458"/>
        <v>0.22139999999999999</v>
      </c>
      <c r="ACE13" s="90">
        <v>0.38175323599898991</v>
      </c>
      <c r="ACF13" s="90">
        <v>0.83</v>
      </c>
      <c r="ACG13" s="90">
        <f t="shared" si="459"/>
        <v>0.88</v>
      </c>
      <c r="ACH13" s="90">
        <f t="shared" si="460"/>
        <v>106.02409638554218</v>
      </c>
      <c r="ACI13" s="90">
        <f t="shared" si="461"/>
        <v>22.569999999999997</v>
      </c>
      <c r="ACJ13" s="90">
        <f t="shared" si="462"/>
        <v>22.139999999999997</v>
      </c>
      <c r="ACK13" s="90">
        <f t="shared" si="463"/>
        <v>-0.42999999999999972</v>
      </c>
      <c r="ACL13" s="90"/>
      <c r="ACM13" s="90">
        <f t="shared" si="464"/>
        <v>22.569999999999997</v>
      </c>
      <c r="ACN13" s="90">
        <f t="shared" si="465"/>
        <v>0</v>
      </c>
      <c r="ACO13" s="90">
        <f t="shared" si="466"/>
        <v>22.569999999999997</v>
      </c>
      <c r="ACP13" s="90">
        <v>21.47</v>
      </c>
      <c r="ACQ13" s="90">
        <f t="shared" si="467"/>
        <v>105.12342803912435</v>
      </c>
      <c r="ACR13" s="90">
        <f t="shared" si="468"/>
        <v>0</v>
      </c>
      <c r="ACS13" s="90">
        <v>0</v>
      </c>
      <c r="ACT13" s="90"/>
      <c r="ACU13" s="90">
        <f t="shared" si="469"/>
        <v>22.564969999999999</v>
      </c>
      <c r="ACV13" s="90">
        <f t="shared" si="470"/>
        <v>-5.0299999999978695E-3</v>
      </c>
      <c r="ACX13" s="106" t="s">
        <v>483</v>
      </c>
      <c r="ACY13" s="107"/>
      <c r="ACZ13" s="107"/>
      <c r="ADB13" s="90">
        <f t="shared" si="471"/>
        <v>4.1100000000000003</v>
      </c>
      <c r="ADC13" s="90">
        <f t="shared" si="472"/>
        <v>12.34</v>
      </c>
      <c r="ADD13" s="90">
        <f t="shared" si="473"/>
        <v>4.18</v>
      </c>
      <c r="ADE13" s="90">
        <f t="shared" si="474"/>
        <v>0.46</v>
      </c>
      <c r="ADF13" s="90">
        <f t="shared" si="475"/>
        <v>0</v>
      </c>
      <c r="ADG13" s="90">
        <f t="shared" si="476"/>
        <v>0.46</v>
      </c>
      <c r="ADH13" s="90">
        <f t="shared" si="476"/>
        <v>0</v>
      </c>
      <c r="ADI13" s="90">
        <f t="shared" si="476"/>
        <v>0</v>
      </c>
      <c r="ADJ13" s="90">
        <f t="shared" si="477"/>
        <v>7.7</v>
      </c>
      <c r="ADK13" s="90">
        <f t="shared" si="478"/>
        <v>0</v>
      </c>
      <c r="ADL13" s="90">
        <f t="shared" si="479"/>
        <v>0</v>
      </c>
      <c r="ADM13" s="90">
        <f t="shared" si="480"/>
        <v>0</v>
      </c>
      <c r="ADN13" s="90">
        <f t="shared" si="480"/>
        <v>0</v>
      </c>
      <c r="ADO13" s="90">
        <f t="shared" si="481"/>
        <v>7.7</v>
      </c>
      <c r="ADP13" s="90">
        <f t="shared" si="482"/>
        <v>5.24</v>
      </c>
      <c r="ADQ13" s="90">
        <f t="shared" si="483"/>
        <v>0.88</v>
      </c>
      <c r="ADR13" s="90">
        <f t="shared" si="484"/>
        <v>22.569999999999997</v>
      </c>
      <c r="ADU13" s="90">
        <f t="shared" si="485"/>
        <v>1.1499999999999999</v>
      </c>
      <c r="ADV13" s="90">
        <f t="shared" si="486"/>
        <v>0</v>
      </c>
      <c r="ADW13" s="90">
        <f t="shared" si="487"/>
        <v>7.7</v>
      </c>
      <c r="ADX13" s="90">
        <f t="shared" si="488"/>
        <v>4.1100000000000003</v>
      </c>
      <c r="ADY13" s="90">
        <f t="shared" si="489"/>
        <v>9.15</v>
      </c>
      <c r="ADZ13" s="90">
        <f t="shared" si="490"/>
        <v>0</v>
      </c>
      <c r="AEA13" s="90">
        <f t="shared" si="491"/>
        <v>22.569999999999997</v>
      </c>
      <c r="AEB13" s="90">
        <f t="shared" si="492"/>
        <v>0</v>
      </c>
      <c r="AEC13" s="104">
        <f t="shared" si="493"/>
        <v>22.11</v>
      </c>
      <c r="AED13" s="104">
        <f t="shared" si="494"/>
        <v>0.4599999999999973</v>
      </c>
      <c r="AEG13" s="1">
        <v>11.89</v>
      </c>
      <c r="AEH13" s="1">
        <v>4.21</v>
      </c>
      <c r="AEI13" s="1">
        <v>0</v>
      </c>
      <c r="AEJ13" s="1">
        <v>7.68</v>
      </c>
      <c r="AEK13" s="1">
        <v>0</v>
      </c>
      <c r="AEL13" s="1">
        <v>0</v>
      </c>
      <c r="AEM13" s="1">
        <v>0</v>
      </c>
      <c r="AEN13" s="1">
        <v>0</v>
      </c>
      <c r="AEO13" s="1">
        <v>0</v>
      </c>
      <c r="AEP13" s="1">
        <v>0</v>
      </c>
      <c r="AEQ13" s="1">
        <v>0</v>
      </c>
      <c r="AER13" s="1">
        <v>0</v>
      </c>
      <c r="AES13" s="1">
        <v>0</v>
      </c>
      <c r="AET13" s="1">
        <v>0</v>
      </c>
      <c r="AEU13" s="1">
        <v>0</v>
      </c>
      <c r="AEV13" s="1">
        <v>0.02</v>
      </c>
      <c r="AEW13" s="1">
        <v>3.91</v>
      </c>
      <c r="AEX13" s="1">
        <v>12.52</v>
      </c>
      <c r="AEY13" s="1">
        <v>9.5500000000000007</v>
      </c>
      <c r="AEZ13" s="1">
        <v>4.84</v>
      </c>
      <c r="AFA13" s="1">
        <v>0.03</v>
      </c>
      <c r="AFB13" s="1">
        <v>4.87</v>
      </c>
      <c r="AFC13" s="1">
        <v>227</v>
      </c>
      <c r="AFD13" s="1">
        <v>230.38</v>
      </c>
      <c r="AFE13" s="1">
        <v>0.62</v>
      </c>
      <c r="AFF13" s="1">
        <v>0.21</v>
      </c>
      <c r="AFG13" s="1">
        <v>0.11989898989898991</v>
      </c>
      <c r="AFH13" s="1">
        <v>0.215</v>
      </c>
      <c r="AFI13" s="1">
        <v>0.38175323599898991</v>
      </c>
      <c r="AFJ13" s="1">
        <v>0.83</v>
      </c>
      <c r="AFK13" s="1">
        <v>21.47</v>
      </c>
      <c r="AFL13" s="1">
        <v>21.5</v>
      </c>
      <c r="AFM13" s="1">
        <v>3.0000000000001137E-2</v>
      </c>
      <c r="AFO13" s="1">
        <v>21.47</v>
      </c>
      <c r="AFP13" s="1">
        <v>0</v>
      </c>
      <c r="AFQ13" s="1">
        <v>21.47</v>
      </c>
      <c r="AFX13" s="1">
        <v>22.15</v>
      </c>
    </row>
    <row r="14" spans="1:856" s="1" customFormat="1" ht="63.75" customHeight="1">
      <c r="A14" s="88">
        <v>5</v>
      </c>
      <c r="B14" s="20" t="s">
        <v>574</v>
      </c>
      <c r="C14" s="89" t="s">
        <v>582</v>
      </c>
      <c r="D14" s="20" t="s">
        <v>574</v>
      </c>
      <c r="E14" s="20" t="s">
        <v>437</v>
      </c>
      <c r="F14" s="20" t="s">
        <v>438</v>
      </c>
      <c r="G14" s="20">
        <v>0.8</v>
      </c>
      <c r="H14" s="20">
        <v>135</v>
      </c>
      <c r="I14" s="20">
        <f>135-0.6</f>
        <v>134.4</v>
      </c>
      <c r="J14" s="20">
        <f t="shared" si="0"/>
        <v>107.52000000000001</v>
      </c>
      <c r="K14" s="20">
        <v>2</v>
      </c>
      <c r="L14" s="20"/>
      <c r="M14" s="20"/>
      <c r="N14" s="20"/>
      <c r="O14" s="90">
        <f t="shared" si="1"/>
        <v>0</v>
      </c>
      <c r="P14" s="20"/>
      <c r="Q14" s="20"/>
      <c r="R14" s="90">
        <f t="shared" si="2"/>
        <v>0</v>
      </c>
      <c r="S14" s="20"/>
      <c r="T14" s="20">
        <v>2.6</v>
      </c>
      <c r="U14" s="20">
        <v>3.13</v>
      </c>
      <c r="V14" s="91">
        <f t="shared" si="3"/>
        <v>0</v>
      </c>
      <c r="W14" s="20">
        <v>2.1000000000000001E-2</v>
      </c>
      <c r="X14" s="20">
        <f t="shared" si="4"/>
        <v>33.42</v>
      </c>
      <c r="Y14" s="91">
        <f t="shared" si="5"/>
        <v>0</v>
      </c>
      <c r="Z14" s="20"/>
      <c r="AA14" s="20"/>
      <c r="AB14" s="20"/>
      <c r="AC14" s="91">
        <f t="shared" si="6"/>
        <v>0</v>
      </c>
      <c r="AD14" s="90">
        <f t="shared" si="7"/>
        <v>0</v>
      </c>
      <c r="AE14" s="92">
        <f t="shared" si="8"/>
        <v>0</v>
      </c>
      <c r="AF14" s="20">
        <v>5</v>
      </c>
      <c r="AG14" s="20">
        <v>5</v>
      </c>
      <c r="AH14" s="20">
        <v>5</v>
      </c>
      <c r="AI14" s="20"/>
      <c r="AJ14" s="20">
        <v>1.6</v>
      </c>
      <c r="AK14" s="90">
        <f t="shared" si="9"/>
        <v>0.67</v>
      </c>
      <c r="AL14" s="90">
        <v>391.01</v>
      </c>
      <c r="AM14" s="90">
        <f t="shared" si="10"/>
        <v>261.98</v>
      </c>
      <c r="AN14" s="20"/>
      <c r="AO14" s="20"/>
      <c r="AP14" s="20">
        <v>5</v>
      </c>
      <c r="AQ14" s="20"/>
      <c r="AR14" s="20"/>
      <c r="AS14" s="20"/>
      <c r="AT14" s="20">
        <f t="shared" si="11"/>
        <v>0</v>
      </c>
      <c r="AU14" s="20">
        <v>1.6</v>
      </c>
      <c r="AV14" s="90">
        <f t="shared" si="12"/>
        <v>0.67</v>
      </c>
      <c r="AW14" s="90">
        <f t="shared" ref="AW14" si="520">ROUND((187.84*6+189.92*6)/12,2)</f>
        <v>188.88</v>
      </c>
      <c r="AX14" s="90">
        <v>0</v>
      </c>
      <c r="AY14" s="90">
        <f t="shared" si="14"/>
        <v>0</v>
      </c>
      <c r="AZ14" s="90">
        <f t="shared" si="15"/>
        <v>260.67</v>
      </c>
      <c r="BA14" s="90">
        <f t="shared" si="16"/>
        <v>-260.67</v>
      </c>
      <c r="BB14" s="90">
        <v>0</v>
      </c>
      <c r="BC14" s="90">
        <v>0</v>
      </c>
      <c r="BD14" s="92">
        <f t="shared" si="17"/>
        <v>0</v>
      </c>
      <c r="BE14" s="90"/>
      <c r="BF14" s="90">
        <f t="shared" si="18"/>
        <v>0</v>
      </c>
      <c r="BG14" s="90">
        <v>391.01</v>
      </c>
      <c r="BH14" s="90">
        <f t="shared" si="19"/>
        <v>261.98</v>
      </c>
      <c r="BI14" s="90">
        <f t="shared" si="20"/>
        <v>1.95</v>
      </c>
      <c r="BJ14" s="90"/>
      <c r="BK14" s="90">
        <f t="shared" si="22"/>
        <v>261.98</v>
      </c>
      <c r="BL14" s="90">
        <f t="shared" si="23"/>
        <v>1.95</v>
      </c>
      <c r="BM14" s="90"/>
      <c r="BN14" s="90">
        <f t="shared" si="24"/>
        <v>0</v>
      </c>
      <c r="BO14" s="90">
        <f t="shared" si="25"/>
        <v>261.98</v>
      </c>
      <c r="BP14" s="90">
        <f t="shared" si="26"/>
        <v>1.9492559523809525</v>
      </c>
      <c r="BQ14" s="90"/>
      <c r="BR14" s="90">
        <f t="shared" si="27"/>
        <v>0</v>
      </c>
      <c r="BS14" s="90">
        <f t="shared" si="28"/>
        <v>261.98</v>
      </c>
      <c r="BT14" s="90">
        <f t="shared" si="29"/>
        <v>1.9492559523809525</v>
      </c>
      <c r="BU14" s="90"/>
      <c r="BV14" s="93">
        <v>0.82054380000000005</v>
      </c>
      <c r="BW14" s="90">
        <f t="shared" si="30"/>
        <v>110.28108672</v>
      </c>
      <c r="BX14" s="90">
        <f t="shared" si="31"/>
        <v>116.89795192320001</v>
      </c>
      <c r="BY14" s="90"/>
      <c r="BZ14" s="90"/>
      <c r="CA14" s="90">
        <v>0.26506960299999999</v>
      </c>
      <c r="CB14" s="90">
        <f t="shared" ref="CB14" si="521">$I14*CA14</f>
        <v>35.625354643199998</v>
      </c>
      <c r="CC14" s="90">
        <v>0.71072749999999996</v>
      </c>
      <c r="CD14" s="90">
        <f t="shared" si="32"/>
        <v>25.319919242174926</v>
      </c>
      <c r="CE14" s="90">
        <f t="shared" si="33"/>
        <v>38.286905741652816</v>
      </c>
      <c r="CF14" s="90">
        <v>37.37721271226129</v>
      </c>
      <c r="CG14" s="90">
        <v>37.37721271226129</v>
      </c>
      <c r="CH14" s="90">
        <f t="shared" si="34"/>
        <v>39.17</v>
      </c>
      <c r="CI14" s="90">
        <f t="shared" si="496"/>
        <v>41.10617846575343</v>
      </c>
      <c r="CJ14" s="90">
        <f t="shared" si="35"/>
        <v>41.32</v>
      </c>
      <c r="CK14" s="90">
        <f t="shared" si="36"/>
        <v>43.701915342465739</v>
      </c>
      <c r="CL14" s="90">
        <f t="shared" si="37"/>
        <v>43.701915342465739</v>
      </c>
      <c r="CM14" s="94">
        <v>0.14899999999999999</v>
      </c>
      <c r="CN14" s="90">
        <f t="shared" si="38"/>
        <v>16.431881921279999</v>
      </c>
      <c r="CO14" s="90">
        <f t="shared" si="39"/>
        <v>17.417794836556798</v>
      </c>
      <c r="CP14" s="90"/>
      <c r="CQ14" s="90">
        <v>3.9539251999999997E-2</v>
      </c>
      <c r="CR14" s="90">
        <f t="shared" ref="CR14" si="522">$I14*CQ14</f>
        <v>5.3140754687999996</v>
      </c>
      <c r="CS14" s="90">
        <v>0.71072749999999996</v>
      </c>
      <c r="CT14" s="90">
        <f t="shared" si="40"/>
        <v>3.7768595727515515</v>
      </c>
      <c r="CU14" s="90">
        <f t="shared" si="41"/>
        <v>5.7110871910101944</v>
      </c>
      <c r="CV14" s="90">
        <v>11.551003638355986</v>
      </c>
      <c r="CW14" s="90">
        <f t="shared" si="42"/>
        <v>12.11</v>
      </c>
      <c r="CX14" s="90">
        <f t="shared" si="497"/>
        <v>12.708598958904108</v>
      </c>
      <c r="CY14" s="90">
        <f t="shared" si="43"/>
        <v>12.78</v>
      </c>
      <c r="CZ14" s="90">
        <f t="shared" si="44"/>
        <v>13.511110410958896</v>
      </c>
      <c r="DA14" s="90">
        <f t="shared" si="45"/>
        <v>13.511110410958896</v>
      </c>
      <c r="DB14" s="93">
        <v>0.80939899999999998</v>
      </c>
      <c r="DC14" s="90">
        <f t="shared" si="46"/>
        <v>108.78322560000001</v>
      </c>
      <c r="DD14" s="90">
        <f t="shared" si="47"/>
        <v>115.31021913600001</v>
      </c>
      <c r="DE14" s="90"/>
      <c r="DF14" s="90"/>
      <c r="DG14" s="90">
        <v>0.16261539999999999</v>
      </c>
      <c r="DH14" s="90">
        <f t="shared" ref="DH14" si="523">$I14*DG14</f>
        <v>21.85550976</v>
      </c>
      <c r="DI14" s="90">
        <v>0.71072749999999996</v>
      </c>
      <c r="DJ14" s="90">
        <f t="shared" si="48"/>
        <v>15.5333118129504</v>
      </c>
      <c r="DK14" s="90">
        <f t="shared" si="49"/>
        <v>23.488323147868336</v>
      </c>
      <c r="DL14" s="90">
        <v>18.581403890284111</v>
      </c>
      <c r="DM14" s="90">
        <f t="shared" si="50"/>
        <v>19.47</v>
      </c>
      <c r="DN14" s="90">
        <f t="shared" si="498"/>
        <v>20.432404767123288</v>
      </c>
      <c r="DO14" s="90">
        <f t="shared" si="51"/>
        <v>20.54</v>
      </c>
      <c r="DP14" s="90">
        <f t="shared" si="52"/>
        <v>21.722652328767111</v>
      </c>
      <c r="DQ14" s="90">
        <f t="shared" si="53"/>
        <v>21.722652328767111</v>
      </c>
      <c r="DR14" s="93">
        <v>3.1841000000000001E-2</v>
      </c>
      <c r="DS14" s="90">
        <f t="shared" si="54"/>
        <v>4.2794304000000007</v>
      </c>
      <c r="DT14" s="90">
        <f t="shared" si="55"/>
        <v>4.5361962240000011</v>
      </c>
      <c r="DU14" s="90"/>
      <c r="DV14" s="90">
        <v>6.1506199999999999E-3</v>
      </c>
      <c r="DW14" s="90">
        <f t="shared" ref="DW14" si="524">$I14*DV14</f>
        <v>0.82664332800000007</v>
      </c>
      <c r="DX14" s="90">
        <v>0.71072749999999996</v>
      </c>
      <c r="DY14" s="90">
        <f t="shared" si="56"/>
        <v>0.58751814590112006</v>
      </c>
      <c r="DZ14" s="90">
        <f t="shared" si="57"/>
        <v>0.88840140675324697</v>
      </c>
      <c r="EA14" s="90">
        <f t="shared" si="58"/>
        <v>0.93</v>
      </c>
      <c r="EB14" s="90">
        <f t="shared" si="499"/>
        <v>0.97597002739726046</v>
      </c>
      <c r="EC14" s="90">
        <f t="shared" si="59"/>
        <v>0.98</v>
      </c>
      <c r="ED14" s="90">
        <f t="shared" si="60"/>
        <v>1.0375997260273968</v>
      </c>
      <c r="EE14" s="90">
        <f t="shared" si="61"/>
        <v>1.0375997260273968</v>
      </c>
      <c r="EF14" s="94">
        <v>0.85293354333000004</v>
      </c>
      <c r="EG14" s="90">
        <f t="shared" si="62"/>
        <v>91.707414578841608</v>
      </c>
      <c r="EH14" s="90">
        <f t="shared" si="63"/>
        <v>97.209859453572108</v>
      </c>
      <c r="EI14" s="90"/>
      <c r="EJ14" s="90">
        <v>0.58970610000000001</v>
      </c>
      <c r="EK14" s="90">
        <f t="shared" si="500"/>
        <v>63.405199872000004</v>
      </c>
      <c r="EL14" s="90">
        <v>0.71072749999999996</v>
      </c>
      <c r="EM14" s="90">
        <f t="shared" si="65"/>
        <v>45.063819192026884</v>
      </c>
      <c r="EN14" s="90">
        <f t="shared" si="66"/>
        <v>68.142168277145515</v>
      </c>
      <c r="EO14" s="90">
        <v>66.455278112732401</v>
      </c>
      <c r="EP14" s="90">
        <f t="shared" si="67"/>
        <v>69.650000000000006</v>
      </c>
      <c r="EQ14" s="90">
        <f t="shared" si="501"/>
        <v>73.092809041095904</v>
      </c>
      <c r="ER14" s="90">
        <f t="shared" si="68"/>
        <v>73.48</v>
      </c>
      <c r="ES14" s="90">
        <f t="shared" si="69"/>
        <v>77.708409589041068</v>
      </c>
      <c r="ET14" s="90">
        <f t="shared" si="70"/>
        <v>77.708409589041068</v>
      </c>
      <c r="EU14" s="94">
        <v>0.14899999999999999</v>
      </c>
      <c r="EV14" s="90">
        <f t="shared" si="71"/>
        <v>13.6644047722474</v>
      </c>
      <c r="EW14" s="90">
        <f t="shared" si="72"/>
        <v>14.484269058582244</v>
      </c>
      <c r="EX14" s="90"/>
      <c r="EY14" s="90">
        <v>8.7874999999999995E-2</v>
      </c>
      <c r="EZ14" s="90">
        <f t="shared" si="502"/>
        <v>9.4483200000000007</v>
      </c>
      <c r="FA14" s="90">
        <v>0.71072749999999996</v>
      </c>
      <c r="FB14" s="90">
        <f t="shared" si="74"/>
        <v>6.7151808527999997</v>
      </c>
      <c r="FC14" s="90">
        <f t="shared" si="75"/>
        <v>10.154198909175538</v>
      </c>
      <c r="FD14" s="90">
        <v>20.55175079590212</v>
      </c>
      <c r="FE14" s="90">
        <f t="shared" si="76"/>
        <v>21.54</v>
      </c>
      <c r="FF14" s="90">
        <f t="shared" si="503"/>
        <v>22.604725150684931</v>
      </c>
      <c r="FG14" s="90">
        <f t="shared" si="77"/>
        <v>22.72</v>
      </c>
      <c r="FH14" s="90">
        <f t="shared" si="78"/>
        <v>24.032148493150675</v>
      </c>
      <c r="FI14" s="90">
        <f t="shared" si="79"/>
        <v>24.032148493150675</v>
      </c>
      <c r="FJ14" s="93">
        <v>0.49981642240000002</v>
      </c>
      <c r="FK14" s="90">
        <f t="shared" si="80"/>
        <v>53.740261736448005</v>
      </c>
      <c r="FL14" s="90">
        <f t="shared" si="81"/>
        <v>56.964677440634887</v>
      </c>
      <c r="FM14" s="90"/>
      <c r="FN14" s="90">
        <v>0.35816899099999999</v>
      </c>
      <c r="FO14" s="90">
        <f t="shared" si="504"/>
        <v>38.510329912320003</v>
      </c>
      <c r="FP14" s="90">
        <v>0.71072749999999996</v>
      </c>
      <c r="FQ14" s="90">
        <f t="shared" si="83"/>
        <v>27.370350502758413</v>
      </c>
      <c r="FR14" s="90">
        <f t="shared" si="84"/>
        <v>41.38741596259122</v>
      </c>
      <c r="FS14" s="90">
        <v>32.62590365385558</v>
      </c>
      <c r="FT14" s="90">
        <f t="shared" si="85"/>
        <v>34.19</v>
      </c>
      <c r="FU14" s="90">
        <v>32.653450079907721</v>
      </c>
      <c r="FV14" s="90">
        <f t="shared" si="86"/>
        <v>34.22</v>
      </c>
      <c r="FW14" s="90">
        <f t="shared" si="505"/>
        <v>35.911499287671234</v>
      </c>
      <c r="FX14" s="90">
        <f t="shared" si="87"/>
        <v>36.1</v>
      </c>
      <c r="FY14" s="90">
        <f t="shared" si="88"/>
        <v>38.179207123287654</v>
      </c>
      <c r="FZ14" s="90">
        <f t="shared" si="89"/>
        <v>38.179207123287654</v>
      </c>
      <c r="GA14" s="94">
        <v>1.352261642E-2</v>
      </c>
      <c r="GB14" s="90">
        <f t="shared" si="90"/>
        <v>1.4539517174784</v>
      </c>
      <c r="GC14" s="90">
        <f t="shared" si="91"/>
        <v>1.541188820527104</v>
      </c>
      <c r="GD14" s="90"/>
      <c r="GE14" s="90">
        <v>1.0795000000000001E-2</v>
      </c>
      <c r="GF14" s="90">
        <f t="shared" si="506"/>
        <v>1.1606784000000001</v>
      </c>
      <c r="GG14" s="90">
        <v>0.71072749999999996</v>
      </c>
      <c r="GH14" s="90">
        <f t="shared" si="93"/>
        <v>0.82492605753600001</v>
      </c>
      <c r="GI14" s="90">
        <f t="shared" si="94"/>
        <v>1.247392059454338</v>
      </c>
      <c r="GJ14" s="90">
        <f t="shared" si="95"/>
        <v>1.31</v>
      </c>
      <c r="GK14" s="90">
        <f t="shared" si="507"/>
        <v>1.3747534794520548</v>
      </c>
      <c r="GL14" s="90">
        <f t="shared" si="96"/>
        <v>1.38</v>
      </c>
      <c r="GM14" s="90">
        <f t="shared" si="97"/>
        <v>1.4615652054794515</v>
      </c>
      <c r="GN14" s="90">
        <f t="shared" si="98"/>
        <v>1.4615652054794515</v>
      </c>
      <c r="GO14" s="90"/>
      <c r="GP14" s="90">
        <f t="shared" si="99"/>
        <v>0</v>
      </c>
      <c r="GQ14" s="90"/>
      <c r="GR14" s="90">
        <f t="shared" si="100"/>
        <v>0</v>
      </c>
      <c r="GS14" s="90">
        <f t="shared" si="101"/>
        <v>0</v>
      </c>
      <c r="GT14" s="90">
        <f t="shared" si="102"/>
        <v>0</v>
      </c>
      <c r="GU14" s="90"/>
      <c r="GV14" s="90"/>
      <c r="GW14" s="90">
        <f t="shared" si="103"/>
        <v>0</v>
      </c>
      <c r="GX14" s="90">
        <f t="shared" si="104"/>
        <v>0</v>
      </c>
      <c r="GY14" s="90"/>
      <c r="GZ14" s="90"/>
      <c r="HA14" s="90">
        <f t="shared" si="105"/>
        <v>0</v>
      </c>
      <c r="HB14" s="90">
        <f t="shared" si="106"/>
        <v>0</v>
      </c>
      <c r="HC14" s="90"/>
      <c r="HD14" s="90"/>
      <c r="HE14" s="90">
        <f t="shared" si="107"/>
        <v>0</v>
      </c>
      <c r="HF14" s="90">
        <f t="shared" si="108"/>
        <v>0</v>
      </c>
      <c r="HG14" s="90"/>
      <c r="HH14" s="90"/>
      <c r="HI14" s="90">
        <v>0.96</v>
      </c>
      <c r="HJ14" s="90">
        <f t="shared" si="109"/>
        <v>129.024</v>
      </c>
      <c r="HK14" s="90">
        <f t="shared" si="110"/>
        <v>1.0061011904761905</v>
      </c>
      <c r="HL14" s="90">
        <f t="shared" si="111"/>
        <v>135.22</v>
      </c>
      <c r="HM14" s="90">
        <v>1.07</v>
      </c>
      <c r="HN14" s="90">
        <f t="shared" si="112"/>
        <v>143.80800000000002</v>
      </c>
      <c r="HO14" s="90">
        <v>1.1499999999999999</v>
      </c>
      <c r="HP14" s="90">
        <f t="shared" si="113"/>
        <v>154.56</v>
      </c>
      <c r="HQ14" s="90">
        <v>1.1499999999999999</v>
      </c>
      <c r="HR14" s="90">
        <f t="shared" si="114"/>
        <v>154.56</v>
      </c>
      <c r="HS14" s="90">
        <v>0.96</v>
      </c>
      <c r="HT14" s="90">
        <v>42.903340032000003</v>
      </c>
      <c r="HU14" s="90" t="e">
        <f>HT14*#REF!</f>
        <v>#REF!</v>
      </c>
      <c r="HV14" s="20">
        <v>2.5</v>
      </c>
      <c r="HW14" s="90">
        <v>3.1</v>
      </c>
      <c r="HX14" s="90">
        <f t="shared" si="115"/>
        <v>416.64000000000004</v>
      </c>
      <c r="HY14" s="90">
        <v>1.06</v>
      </c>
      <c r="HZ14" s="90">
        <f t="shared" si="116"/>
        <v>441.63840000000005</v>
      </c>
      <c r="IA14" s="90">
        <f t="shared" si="117"/>
        <v>3.29</v>
      </c>
      <c r="IB14" s="90">
        <f t="shared" si="118"/>
        <v>3.45</v>
      </c>
      <c r="IC14" s="90">
        <f t="shared" si="119"/>
        <v>463.68000000000006</v>
      </c>
      <c r="ID14" s="90">
        <f t="shared" si="120"/>
        <v>3.64</v>
      </c>
      <c r="IE14" s="90">
        <f t="shared" si="121"/>
        <v>489.22</v>
      </c>
      <c r="IF14" s="90">
        <f t="shared" si="122"/>
        <v>3.64</v>
      </c>
      <c r="IG14" s="92">
        <f t="shared" si="123"/>
        <v>5870.64</v>
      </c>
      <c r="IH14" s="90">
        <v>3.91</v>
      </c>
      <c r="II14" s="90">
        <f t="shared" si="124"/>
        <v>4.1100000000000003</v>
      </c>
      <c r="IJ14" s="90">
        <f t="shared" si="125"/>
        <v>552.38</v>
      </c>
      <c r="IK14" s="90">
        <f t="shared" si="126"/>
        <v>4.1100000000000003</v>
      </c>
      <c r="IL14" s="90">
        <f t="shared" si="127"/>
        <v>552.38</v>
      </c>
      <c r="IM14" s="90">
        <f t="shared" si="128"/>
        <v>4.1100000000000003</v>
      </c>
      <c r="IN14" s="90">
        <f t="shared" si="129"/>
        <v>552.38</v>
      </c>
      <c r="IO14" s="90">
        <f t="shared" si="130"/>
        <v>4.1100000000000003</v>
      </c>
      <c r="IP14" s="93">
        <v>0.37052404126999999</v>
      </c>
      <c r="IQ14" s="90">
        <f t="shared" si="131"/>
        <v>39.838744917350404</v>
      </c>
      <c r="IR14" s="90">
        <f t="shared" si="132"/>
        <v>42.229069612391427</v>
      </c>
      <c r="IS14" s="90">
        <v>108693.96</v>
      </c>
      <c r="IT14" s="90">
        <v>3053.33</v>
      </c>
      <c r="IU14" s="94"/>
      <c r="IV14" s="94"/>
      <c r="IW14" s="94">
        <v>1.6976990999999999</v>
      </c>
      <c r="IX14" s="90">
        <f t="shared" si="509"/>
        <v>182.53660723199999</v>
      </c>
      <c r="IY14" s="93">
        <v>0.56339614052999998</v>
      </c>
      <c r="IZ14" s="90">
        <f t="shared" si="134"/>
        <v>75.720441287232006</v>
      </c>
      <c r="JA14" s="90">
        <f t="shared" si="135"/>
        <v>79.36</v>
      </c>
      <c r="JB14" s="90">
        <f t="shared" si="510"/>
        <v>83.282775671232883</v>
      </c>
      <c r="JC14" s="90">
        <f t="shared" si="136"/>
        <v>83.72</v>
      </c>
      <c r="JD14" s="90">
        <f t="shared" si="137"/>
        <v>88.541843287671199</v>
      </c>
      <c r="JE14" s="90">
        <f t="shared" si="138"/>
        <v>88.541843287671199</v>
      </c>
      <c r="JF14" s="93">
        <v>4.2278943710000003E-2</v>
      </c>
      <c r="JG14" s="90">
        <f t="shared" si="139"/>
        <v>4.545832027699201</v>
      </c>
      <c r="JH14" s="90">
        <f t="shared" si="140"/>
        <v>4.8185819493611532</v>
      </c>
      <c r="JI14" s="20">
        <v>462.98</v>
      </c>
      <c r="JJ14" s="20"/>
      <c r="JK14" s="20">
        <v>6.0564350000000003E-2</v>
      </c>
      <c r="JL14" s="90">
        <f t="shared" si="511"/>
        <v>6.5118789120000011</v>
      </c>
      <c r="JM14" s="93">
        <v>6.7347080040000007E-2</v>
      </c>
      <c r="JN14" s="90">
        <f t="shared" si="142"/>
        <v>9.0514475573760009</v>
      </c>
      <c r="JO14" s="90">
        <f t="shared" si="143"/>
        <v>9.49</v>
      </c>
      <c r="JP14" s="90">
        <f t="shared" si="512"/>
        <v>9.9590920000000018</v>
      </c>
      <c r="JQ14" s="90">
        <f t="shared" si="144"/>
        <v>10.01</v>
      </c>
      <c r="JR14" s="90">
        <f t="shared" si="145"/>
        <v>10.587979999999996</v>
      </c>
      <c r="JS14" s="90">
        <f t="shared" si="146"/>
        <v>10.587979999999996</v>
      </c>
      <c r="JT14" s="93">
        <v>7.3220517000000002E-3</v>
      </c>
      <c r="JU14" s="90">
        <f t="shared" si="147"/>
        <v>0.78726699878400008</v>
      </c>
      <c r="JV14" s="90">
        <f t="shared" si="148"/>
        <v>0.83</v>
      </c>
      <c r="JW14" s="90">
        <f t="shared" si="513"/>
        <v>0.87102701369863011</v>
      </c>
      <c r="JX14" s="90">
        <f t="shared" si="149"/>
        <v>0.88</v>
      </c>
      <c r="JY14" s="90">
        <f t="shared" si="150"/>
        <v>0.92602986301369827</v>
      </c>
      <c r="JZ14" s="90">
        <f t="shared" si="151"/>
        <v>0.92602986301369827</v>
      </c>
      <c r="KA14" s="90">
        <v>8.3090999999999998E-3</v>
      </c>
      <c r="KB14" s="90">
        <f t="shared" si="514"/>
        <v>0.89339443200000002</v>
      </c>
      <c r="KC14" s="90" t="e">
        <f>KB14*#REF!</f>
        <v>#REF!</v>
      </c>
      <c r="KD14" s="90">
        <v>16587.36</v>
      </c>
      <c r="KE14" s="90">
        <v>17977.669999999998</v>
      </c>
      <c r="KF14" s="90"/>
      <c r="KG14" s="90">
        <f t="shared" si="515"/>
        <v>145.6650635182452</v>
      </c>
      <c r="KH14" s="90" t="e">
        <f>KG14/(BW14+#REF!)*(CB14+#REF!)</f>
        <v>#REF!</v>
      </c>
      <c r="KI14" s="90">
        <v>0.8</v>
      </c>
      <c r="KJ14" s="94"/>
      <c r="KK14" s="90">
        <f t="shared" si="154"/>
        <v>0</v>
      </c>
      <c r="KL14" s="93">
        <v>1.295215</v>
      </c>
      <c r="KM14" s="90">
        <v>149.81569629625946</v>
      </c>
      <c r="KN14" s="90">
        <f t="shared" si="155"/>
        <v>158.80463807403504</v>
      </c>
      <c r="KO14" s="90" t="e">
        <f>BW14+CN14+DC14+DS14+EG14+EV14+FK14+GB14+#REF!+#REF!+HJ14+HX14+IQ14+JG14+JU14+KK14+KM14</f>
        <v>#REF!</v>
      </c>
      <c r="KP14" s="90"/>
      <c r="KQ14" s="90">
        <v>0.50814739200000003</v>
      </c>
      <c r="KR14" s="90">
        <f t="shared" si="517"/>
        <v>68.295009484800005</v>
      </c>
      <c r="KS14" s="90">
        <v>0.71072749999999996</v>
      </c>
      <c r="KT14" s="90">
        <f t="shared" si="156"/>
        <v>48.539141353608194</v>
      </c>
      <c r="KU14" s="90">
        <f t="shared" si="157"/>
        <v>73.397292938076745</v>
      </c>
      <c r="KV14" s="90">
        <f t="shared" si="158"/>
        <v>76.92</v>
      </c>
      <c r="KW14" s="90">
        <f t="shared" si="518"/>
        <v>80.722166136986317</v>
      </c>
      <c r="KX14" s="90">
        <f t="shared" si="159"/>
        <v>81.150000000000006</v>
      </c>
      <c r="KY14" s="90">
        <f t="shared" si="160"/>
        <v>85.819538630136961</v>
      </c>
      <c r="KZ14" s="90">
        <f t="shared" si="161"/>
        <v>85.819538630136961</v>
      </c>
      <c r="LA14" s="90">
        <f t="shared" si="162"/>
        <v>526.85000000000014</v>
      </c>
      <c r="LB14" s="90">
        <f t="shared" si="163"/>
        <v>3.92</v>
      </c>
      <c r="LC14" s="92">
        <f t="shared" si="164"/>
        <v>6322.2000000000016</v>
      </c>
      <c r="LD14" s="92">
        <v>4.21</v>
      </c>
      <c r="LE14" s="92">
        <v>565.82000000000005</v>
      </c>
      <c r="LF14" s="90">
        <f t="shared" si="165"/>
        <v>4.18</v>
      </c>
      <c r="LG14" s="90">
        <f t="shared" si="166"/>
        <v>561.79</v>
      </c>
      <c r="LH14" s="90">
        <f t="shared" si="167"/>
        <v>566.3637500000001</v>
      </c>
      <c r="LI14" s="90">
        <f t="shared" si="168"/>
        <v>4.21</v>
      </c>
      <c r="LJ14" s="90">
        <f t="shared" si="169"/>
        <v>561.78999999999985</v>
      </c>
      <c r="LK14" s="90">
        <f t="shared" si="170"/>
        <v>4.18</v>
      </c>
      <c r="LL14" s="90">
        <f t="shared" si="171"/>
        <v>561.78999999999985</v>
      </c>
      <c r="LM14" s="90">
        <f t="shared" si="172"/>
        <v>4.18</v>
      </c>
      <c r="LN14" s="95">
        <v>0.46</v>
      </c>
      <c r="LO14" s="95">
        <f t="shared" si="173"/>
        <v>61.82</v>
      </c>
      <c r="LP14" s="95"/>
      <c r="LQ14" s="95">
        <f t="shared" si="174"/>
        <v>0</v>
      </c>
      <c r="LR14" s="90"/>
      <c r="LS14" s="90"/>
      <c r="LT14" s="90">
        <f t="shared" si="175"/>
        <v>0</v>
      </c>
      <c r="LU14" s="90"/>
      <c r="LV14" s="90">
        <f t="shared" si="176"/>
        <v>0</v>
      </c>
      <c r="LW14" s="90">
        <f t="shared" si="177"/>
        <v>0</v>
      </c>
      <c r="LX14" s="90"/>
      <c r="LY14" s="90"/>
      <c r="LZ14" s="90">
        <f t="shared" si="178"/>
        <v>0</v>
      </c>
      <c r="MA14" s="90"/>
      <c r="MB14" s="90">
        <f t="shared" si="179"/>
        <v>0</v>
      </c>
      <c r="MC14" s="90">
        <f t="shared" si="180"/>
        <v>0</v>
      </c>
      <c r="MD14" s="90"/>
      <c r="ME14" s="90"/>
      <c r="MF14" s="90">
        <f t="shared" si="181"/>
        <v>0</v>
      </c>
      <c r="MG14" s="90"/>
      <c r="MH14" s="90">
        <f t="shared" si="182"/>
        <v>0</v>
      </c>
      <c r="MI14" s="90">
        <f t="shared" si="183"/>
        <v>0</v>
      </c>
      <c r="MJ14" s="90"/>
      <c r="MK14" s="90"/>
      <c r="ML14" s="90">
        <f t="shared" si="184"/>
        <v>0</v>
      </c>
      <c r="MM14" s="90"/>
      <c r="MN14" s="90">
        <f t="shared" si="185"/>
        <v>0</v>
      </c>
      <c r="MO14" s="90">
        <f t="shared" si="186"/>
        <v>0</v>
      </c>
      <c r="MP14" s="90">
        <f t="shared" si="187"/>
        <v>0</v>
      </c>
      <c r="MQ14" s="90">
        <f t="shared" si="188"/>
        <v>0</v>
      </c>
      <c r="MR14" s="90">
        <f t="shared" si="189"/>
        <v>0</v>
      </c>
      <c r="MS14" s="90">
        <f t="shared" si="190"/>
        <v>0</v>
      </c>
      <c r="MT14" s="95"/>
      <c r="MU14" s="95">
        <f t="shared" si="191"/>
        <v>0</v>
      </c>
      <c r="MV14" s="92">
        <f t="shared" si="192"/>
        <v>0</v>
      </c>
      <c r="MW14" s="95"/>
      <c r="MX14" s="95">
        <f t="shared" si="193"/>
        <v>0</v>
      </c>
      <c r="MY14" s="95"/>
      <c r="MZ14" s="95">
        <f t="shared" si="194"/>
        <v>0</v>
      </c>
      <c r="NA14" s="95"/>
      <c r="NB14" s="95">
        <f t="shared" si="195"/>
        <v>0</v>
      </c>
      <c r="NC14" s="92">
        <f t="shared" si="196"/>
        <v>0</v>
      </c>
      <c r="ND14" s="95"/>
      <c r="NE14" s="95">
        <f t="shared" si="197"/>
        <v>0</v>
      </c>
      <c r="NF14" s="95"/>
      <c r="NG14" s="95">
        <f t="shared" si="198"/>
        <v>0</v>
      </c>
      <c r="NH14" s="95"/>
      <c r="NI14" s="95"/>
      <c r="NJ14" s="95">
        <f t="shared" si="199"/>
        <v>0</v>
      </c>
      <c r="NK14" s="92">
        <f t="shared" si="200"/>
        <v>0</v>
      </c>
      <c r="NL14" s="95"/>
      <c r="NM14" s="95">
        <f t="shared" si="201"/>
        <v>0</v>
      </c>
      <c r="NN14" s="95"/>
      <c r="NO14" s="95">
        <f t="shared" si="202"/>
        <v>0</v>
      </c>
      <c r="NP14" s="95"/>
      <c r="NQ14" s="95">
        <f t="shared" si="203"/>
        <v>0</v>
      </c>
      <c r="NR14" s="92">
        <f t="shared" si="204"/>
        <v>0</v>
      </c>
      <c r="NS14" s="95"/>
      <c r="NT14" s="95">
        <f t="shared" si="205"/>
        <v>0</v>
      </c>
      <c r="NU14" s="95"/>
      <c r="NV14" s="95">
        <f t="shared" si="206"/>
        <v>0</v>
      </c>
      <c r="NW14" s="95"/>
      <c r="NX14" s="95">
        <f t="shared" si="207"/>
        <v>0</v>
      </c>
      <c r="NY14" s="92">
        <f t="shared" si="208"/>
        <v>0</v>
      </c>
      <c r="NZ14" s="95"/>
      <c r="OA14" s="95">
        <f t="shared" si="209"/>
        <v>0</v>
      </c>
      <c r="OB14" s="95"/>
      <c r="OC14" s="95">
        <f t="shared" si="210"/>
        <v>0</v>
      </c>
      <c r="OD14" s="90">
        <v>975.74</v>
      </c>
      <c r="OE14" s="90">
        <f t="shared" si="211"/>
        <v>7.26</v>
      </c>
      <c r="OF14" s="92">
        <f t="shared" si="212"/>
        <v>11708.880000000001</v>
      </c>
      <c r="OG14" s="96">
        <v>0</v>
      </c>
      <c r="OH14" s="96">
        <v>0</v>
      </c>
      <c r="OI14" s="90">
        <v>975.74</v>
      </c>
      <c r="OJ14" s="90">
        <f t="shared" si="213"/>
        <v>7.26</v>
      </c>
      <c r="OK14" s="90">
        <f t="shared" si="214"/>
        <v>975.74</v>
      </c>
      <c r="OL14" s="90">
        <f t="shared" si="215"/>
        <v>7.26</v>
      </c>
      <c r="OM14" s="90">
        <f t="shared" si="216"/>
        <v>0</v>
      </c>
      <c r="ON14" s="90">
        <v>975.74</v>
      </c>
      <c r="OO14" s="90">
        <f t="shared" si="217"/>
        <v>7.26</v>
      </c>
      <c r="OP14" s="90">
        <v>975.74</v>
      </c>
      <c r="OQ14" s="90">
        <v>7.26</v>
      </c>
      <c r="OR14" s="90">
        <f t="shared" si="218"/>
        <v>0</v>
      </c>
      <c r="OS14" s="90">
        <f t="shared" si="219"/>
        <v>7.26</v>
      </c>
      <c r="OT14" s="90">
        <v>975.74</v>
      </c>
      <c r="OU14" s="90">
        <f t="shared" si="220"/>
        <v>7.26</v>
      </c>
      <c r="OV14" s="97">
        <v>975.74</v>
      </c>
      <c r="OW14" s="90">
        <f t="shared" si="221"/>
        <v>975.74</v>
      </c>
      <c r="OX14" s="90">
        <f t="shared" si="222"/>
        <v>7.26</v>
      </c>
      <c r="OY14" s="90">
        <f>OU14-1+1</f>
        <v>7.26</v>
      </c>
      <c r="OZ14" s="90"/>
      <c r="PA14" s="90"/>
      <c r="PB14" s="95">
        <f t="shared" si="223"/>
        <v>0</v>
      </c>
      <c r="PC14" s="92">
        <f t="shared" si="224"/>
        <v>0</v>
      </c>
      <c r="PD14" s="90"/>
      <c r="PE14" s="95">
        <f t="shared" si="225"/>
        <v>0</v>
      </c>
      <c r="PF14" s="90">
        <f t="shared" si="226"/>
        <v>1991.8100000000002</v>
      </c>
      <c r="PG14" s="90">
        <f t="shared" si="227"/>
        <v>14.82</v>
      </c>
      <c r="PH14" s="90">
        <f t="shared" si="228"/>
        <v>2413.71</v>
      </c>
      <c r="PI14" s="90">
        <f t="shared" si="229"/>
        <v>17.96</v>
      </c>
      <c r="PJ14" s="90">
        <f t="shared" si="230"/>
        <v>2413.71</v>
      </c>
      <c r="PK14" s="90">
        <f t="shared" si="231"/>
        <v>17.96</v>
      </c>
      <c r="PL14" s="90"/>
      <c r="PM14" s="90">
        <f t="shared" si="232"/>
        <v>59.75</v>
      </c>
      <c r="PN14" s="90">
        <f t="shared" si="233"/>
        <v>0.44</v>
      </c>
      <c r="PO14" s="92">
        <f t="shared" si="234"/>
        <v>717</v>
      </c>
      <c r="PP14" s="90">
        <f t="shared" si="235"/>
        <v>72.41</v>
      </c>
      <c r="PQ14" s="90">
        <f t="shared" si="236"/>
        <v>0.54</v>
      </c>
      <c r="PR14" s="90">
        <f t="shared" si="237"/>
        <v>72.41</v>
      </c>
      <c r="PS14" s="90">
        <f t="shared" si="238"/>
        <v>0.54</v>
      </c>
      <c r="PT14" s="90">
        <f t="shared" si="239"/>
        <v>2051.5600000000004</v>
      </c>
      <c r="PU14" s="90">
        <f t="shared" si="240"/>
        <v>15.26</v>
      </c>
      <c r="PV14" s="90">
        <f t="shared" si="241"/>
        <v>2486.12</v>
      </c>
      <c r="PW14" s="90">
        <f t="shared" si="242"/>
        <v>18.5</v>
      </c>
      <c r="PX14" s="90">
        <f t="shared" si="243"/>
        <v>2486.12</v>
      </c>
      <c r="PY14" s="90">
        <f t="shared" si="244"/>
        <v>18.5</v>
      </c>
      <c r="PZ14" s="90">
        <f t="shared" si="245"/>
        <v>20.72</v>
      </c>
      <c r="QA14" s="90">
        <f t="shared" si="246"/>
        <v>0.15</v>
      </c>
      <c r="QB14" s="92">
        <f t="shared" si="247"/>
        <v>248.64</v>
      </c>
      <c r="QC14" s="90">
        <f t="shared" si="248"/>
        <v>25.11</v>
      </c>
      <c r="QD14" s="90">
        <f t="shared" si="249"/>
        <v>0.19</v>
      </c>
      <c r="QE14" s="90">
        <f t="shared" si="250"/>
        <v>25.11</v>
      </c>
      <c r="QF14" s="90">
        <f t="shared" si="251"/>
        <v>0.19</v>
      </c>
      <c r="QG14" s="90">
        <f t="shared" si="252"/>
        <v>2072.2800000000002</v>
      </c>
      <c r="QH14" s="90">
        <f t="shared" si="253"/>
        <v>15.42</v>
      </c>
      <c r="QI14" s="92">
        <f t="shared" si="254"/>
        <v>24867.360000000001</v>
      </c>
      <c r="QJ14" s="90">
        <f t="shared" si="255"/>
        <v>96.142166136986319</v>
      </c>
      <c r="QK14" s="98">
        <f t="shared" si="256"/>
        <v>0.21869999999999998</v>
      </c>
      <c r="QL14" s="90">
        <f t="shared" si="257"/>
        <v>29.393279999999997</v>
      </c>
      <c r="QM14" s="90">
        <f t="shared" si="258"/>
        <v>0.14579999999999999</v>
      </c>
      <c r="QN14" s="90">
        <f t="shared" si="259"/>
        <v>19.59552</v>
      </c>
      <c r="QO14" s="90">
        <v>0.21869999999999998</v>
      </c>
      <c r="QP14" s="90">
        <v>0.14579999999999999</v>
      </c>
      <c r="QQ14" s="97">
        <f t="shared" si="260"/>
        <v>48.988799999999998</v>
      </c>
      <c r="QR14" s="97">
        <v>48.988799999999998</v>
      </c>
      <c r="QS14" s="97">
        <f t="shared" si="261"/>
        <v>0</v>
      </c>
      <c r="QT14" s="90"/>
      <c r="QU14" s="90">
        <f t="shared" si="262"/>
        <v>0.14579999999999999</v>
      </c>
      <c r="QV14" s="90">
        <f t="shared" si="263"/>
        <v>19.59552</v>
      </c>
      <c r="QW14" s="90">
        <f t="shared" si="264"/>
        <v>48.988799999999998</v>
      </c>
      <c r="QX14" s="90">
        <f t="shared" si="265"/>
        <v>0.36449999999999999</v>
      </c>
      <c r="QY14" s="90"/>
      <c r="QZ14" s="90"/>
      <c r="RA14" s="90"/>
      <c r="RB14" s="90">
        <v>500.22</v>
      </c>
      <c r="RC14" s="97">
        <f t="shared" si="266"/>
        <v>2072.2800000000002</v>
      </c>
      <c r="RD14" s="97">
        <f t="shared" si="267"/>
        <v>15.42</v>
      </c>
      <c r="RE14" s="90">
        <f t="shared" si="268"/>
        <v>2511.23</v>
      </c>
      <c r="RF14" s="90">
        <f t="shared" si="269"/>
        <v>18.68</v>
      </c>
      <c r="RG14" s="90">
        <f t="shared" si="270"/>
        <v>121.21998702141465</v>
      </c>
      <c r="RH14" s="90">
        <f t="shared" si="271"/>
        <v>2511.23</v>
      </c>
      <c r="RI14" s="90">
        <f t="shared" si="272"/>
        <v>18.68</v>
      </c>
      <c r="RJ14" s="90">
        <v>18.690000000000001</v>
      </c>
      <c r="RK14" s="90">
        <v>0</v>
      </c>
      <c r="RL14" s="90">
        <f t="shared" si="273"/>
        <v>-1.0000000000001563E-2</v>
      </c>
      <c r="RM14" s="90">
        <f t="shared" si="274"/>
        <v>116.81250000000001</v>
      </c>
      <c r="RN14" s="90">
        <f t="shared" si="275"/>
        <v>1016.0700000000002</v>
      </c>
      <c r="RO14" s="90"/>
      <c r="RP14" s="90"/>
      <c r="RQ14" s="99">
        <v>1823</v>
      </c>
      <c r="RR14" s="90">
        <f t="shared" si="276"/>
        <v>1096.5400000000002</v>
      </c>
      <c r="RS14" s="90">
        <f t="shared" si="277"/>
        <v>8.1587797619047624</v>
      </c>
      <c r="RT14" s="90">
        <v>11.28</v>
      </c>
      <c r="RU14" s="90">
        <f t="shared" si="278"/>
        <v>1516.0319999999999</v>
      </c>
      <c r="RV14" s="90">
        <f t="shared" si="279"/>
        <v>0.71534349804305297</v>
      </c>
      <c r="RW14" s="90">
        <v>10.43</v>
      </c>
      <c r="RX14" s="90">
        <f t="shared" si="280"/>
        <v>10.951499999999999</v>
      </c>
      <c r="RY14" s="90">
        <f t="shared" si="281"/>
        <v>1471.8815999999999</v>
      </c>
      <c r="RZ14" s="90">
        <f t="shared" si="282"/>
        <v>388.31418257589951</v>
      </c>
      <c r="SA14" s="90">
        <f t="shared" si="283"/>
        <v>173.7310267325075</v>
      </c>
      <c r="SB14" s="90">
        <f t="shared" si="284"/>
        <v>262.70318563372797</v>
      </c>
      <c r="SC14" s="90">
        <f t="shared" si="285"/>
        <v>477.28634147711995</v>
      </c>
      <c r="SD14" s="90">
        <f t="shared" si="286"/>
        <v>477.28634147711995</v>
      </c>
      <c r="SE14" s="90">
        <f t="shared" si="287"/>
        <v>484.4834549599376</v>
      </c>
      <c r="SF14" s="90">
        <f t="shared" si="288"/>
        <v>477.25879505106781</v>
      </c>
      <c r="SG14" s="90">
        <f t="shared" si="289"/>
        <v>2.7546426052140305E-2</v>
      </c>
      <c r="SH14" s="90">
        <f t="shared" si="290"/>
        <v>477.28634147711995</v>
      </c>
      <c r="SI14" s="90">
        <f t="shared" si="291"/>
        <v>3.5512376597999995</v>
      </c>
      <c r="SJ14" s="90">
        <f t="shared" si="292"/>
        <v>3.5510327012728258</v>
      </c>
      <c r="SK14" s="90"/>
      <c r="SL14" s="90"/>
      <c r="SM14" s="90"/>
      <c r="SN14" s="90">
        <f t="shared" si="293"/>
        <v>511</v>
      </c>
      <c r="SO14" s="90" t="e">
        <f>RU14-#REF!-#REF!-HZ14-LT14-LZ14-MF14-ML14-QL14-QN14-SD14</f>
        <v>#REF!</v>
      </c>
      <c r="SP14" s="90">
        <f t="shared" si="294"/>
        <v>500.22</v>
      </c>
      <c r="SQ14" s="90">
        <f t="shared" si="295"/>
        <v>526.85000000000014</v>
      </c>
      <c r="SR14" s="90">
        <f t="shared" si="296"/>
        <v>3.7218750000000003</v>
      </c>
      <c r="SS14" s="90">
        <f t="shared" si="297"/>
        <v>3.9200148809523818</v>
      </c>
      <c r="ST14" s="90">
        <f t="shared" si="298"/>
        <v>528.86800000000005</v>
      </c>
      <c r="SU14" s="90">
        <v>3.7218750000000003</v>
      </c>
      <c r="SV14" s="90">
        <f t="shared" si="299"/>
        <v>3.94</v>
      </c>
      <c r="SW14" s="90">
        <v>3.92</v>
      </c>
      <c r="SX14" s="90">
        <f t="shared" si="300"/>
        <v>526.85</v>
      </c>
      <c r="SY14" s="90">
        <v>3.7218750000000003</v>
      </c>
      <c r="SZ14" s="90">
        <f t="shared" si="301"/>
        <v>500.22000000000008</v>
      </c>
      <c r="TA14" s="90">
        <f t="shared" si="302"/>
        <v>0</v>
      </c>
      <c r="TB14" s="90">
        <v>0</v>
      </c>
      <c r="TC14" s="90">
        <f t="shared" si="303"/>
        <v>503.14319999999987</v>
      </c>
      <c r="TD14" s="90" t="e">
        <f>#REF!+#REF!</f>
        <v>#REF!</v>
      </c>
      <c r="TE14" s="90" t="e">
        <f t="shared" si="304"/>
        <v>#REF!</v>
      </c>
      <c r="TF14" s="90">
        <v>503.14319999999987</v>
      </c>
      <c r="TG14" s="90">
        <f t="shared" si="305"/>
        <v>33.188164893617014</v>
      </c>
      <c r="TH14" s="95"/>
      <c r="TI14" s="95"/>
      <c r="TJ14" s="95"/>
      <c r="TK14" s="95"/>
      <c r="TL14" s="95"/>
      <c r="TM14" s="95">
        <f t="shared" si="306"/>
        <v>0</v>
      </c>
      <c r="TN14" s="95">
        <f t="shared" si="307"/>
        <v>1516.0319999999999</v>
      </c>
      <c r="TO14" s="95">
        <f t="shared" si="308"/>
        <v>33.188164893617014</v>
      </c>
      <c r="TP14" s="95"/>
      <c r="TQ14" s="95">
        <f t="shared" si="309"/>
        <v>14.579999999999998</v>
      </c>
      <c r="TR14" s="95"/>
      <c r="TS14" s="95"/>
      <c r="TT14" s="95"/>
      <c r="TU14" s="95"/>
      <c r="TV14" s="95"/>
      <c r="TW14" s="95"/>
      <c r="TX14" s="95"/>
      <c r="TY14" s="95"/>
      <c r="TZ14" s="95">
        <f t="shared" si="310"/>
        <v>2.5</v>
      </c>
      <c r="UA14" s="95">
        <f t="shared" si="311"/>
        <v>0.64151999999999998</v>
      </c>
      <c r="UB14" s="90">
        <v>3.3</v>
      </c>
      <c r="UC14" s="90">
        <f t="shared" si="312"/>
        <v>443.52</v>
      </c>
      <c r="UD14" s="90">
        <f t="shared" si="313"/>
        <v>4.4799999999999995</v>
      </c>
      <c r="UE14" s="90">
        <f t="shared" si="314"/>
        <v>439.03999999999996</v>
      </c>
      <c r="UF14" s="90">
        <f t="shared" si="315"/>
        <v>1959.5519999999999</v>
      </c>
      <c r="UG14" s="91">
        <f t="shared" si="316"/>
        <v>22.633744855967077</v>
      </c>
      <c r="UH14" s="95">
        <f t="shared" si="317"/>
        <v>25.676440329218103</v>
      </c>
      <c r="UI14" s="95">
        <f t="shared" si="318"/>
        <v>1959.5519999999999</v>
      </c>
      <c r="UJ14" s="101">
        <f t="shared" si="319"/>
        <v>22.633744855967077</v>
      </c>
      <c r="UK14" s="101">
        <f t="shared" si="320"/>
        <v>25.676440329218103</v>
      </c>
      <c r="UL14" s="90" t="e">
        <f>(#REF!+#REF!+HZ14+LT14+LZ14+MF14+ML14+QL14+QN14+SN14+TC14+TM14+UC14)/I14</f>
        <v>#REF!</v>
      </c>
      <c r="UN14" s="90" t="e">
        <f>#REF!/I14</f>
        <v>#REF!</v>
      </c>
      <c r="UO14" s="90" t="e">
        <f>#REF!/I14</f>
        <v>#REF!</v>
      </c>
      <c r="UP14" s="90">
        <v>1.1499999999999999</v>
      </c>
      <c r="UQ14" s="90" t="e">
        <f t="shared" si="321"/>
        <v>#REF!</v>
      </c>
      <c r="UR14" s="90">
        <f t="shared" si="322"/>
        <v>1096.5400000000002</v>
      </c>
      <c r="US14" s="90">
        <f t="shared" si="323"/>
        <v>1473.6699999999998</v>
      </c>
      <c r="UT14" s="90">
        <f t="shared" si="324"/>
        <v>1473.6699999999998</v>
      </c>
      <c r="UU14" s="90">
        <f t="shared" si="325"/>
        <v>1535.4899999999998</v>
      </c>
      <c r="UV14" s="90">
        <f t="shared" si="326"/>
        <v>1473.6699999999998</v>
      </c>
      <c r="UW14" s="90">
        <f t="shared" si="327"/>
        <v>3.92</v>
      </c>
      <c r="UX14" s="90">
        <f t="shared" si="328"/>
        <v>3.92</v>
      </c>
      <c r="UY14" s="90">
        <f t="shared" si="329"/>
        <v>3.802083333333333</v>
      </c>
      <c r="UZ14" s="100">
        <f t="shared" si="330"/>
        <v>3.5512376597999995</v>
      </c>
      <c r="VA14" s="90">
        <f t="shared" si="331"/>
        <v>0</v>
      </c>
      <c r="VB14" s="90">
        <f t="shared" si="332"/>
        <v>0</v>
      </c>
      <c r="VC14" s="90">
        <f t="shared" si="333"/>
        <v>0</v>
      </c>
      <c r="VD14" s="90">
        <f t="shared" si="334"/>
        <v>0</v>
      </c>
      <c r="VE14" s="90">
        <f t="shared" si="335"/>
        <v>0</v>
      </c>
      <c r="VF14" s="90">
        <f t="shared" si="336"/>
        <v>0</v>
      </c>
      <c r="VG14" s="90">
        <f t="shared" si="337"/>
        <v>0</v>
      </c>
      <c r="VH14" s="90">
        <f t="shared" si="338"/>
        <v>0</v>
      </c>
      <c r="VI14" s="90">
        <f t="shared" si="339"/>
        <v>0</v>
      </c>
      <c r="VJ14" s="90">
        <f t="shared" si="340"/>
        <v>0</v>
      </c>
      <c r="VK14" s="90">
        <f t="shared" si="341"/>
        <v>0</v>
      </c>
      <c r="VL14" s="90">
        <f t="shared" si="342"/>
        <v>3.64</v>
      </c>
      <c r="VM14" s="90">
        <f t="shared" si="343"/>
        <v>7.26</v>
      </c>
      <c r="VN14" s="90">
        <f t="shared" si="344"/>
        <v>0</v>
      </c>
      <c r="VO14" s="90">
        <f t="shared" si="345"/>
        <v>7.26</v>
      </c>
      <c r="VP14" s="97">
        <v>3.3</v>
      </c>
      <c r="VQ14" s="97">
        <v>7.26</v>
      </c>
      <c r="VR14" s="90">
        <f t="shared" si="346"/>
        <v>0.44</v>
      </c>
      <c r="VS14" s="90">
        <f t="shared" si="347"/>
        <v>0.15</v>
      </c>
      <c r="VT14" s="90">
        <v>0.11989898989898991</v>
      </c>
      <c r="VU14" s="90">
        <f t="shared" si="348"/>
        <v>0.15410000000000001</v>
      </c>
      <c r="VV14" s="90">
        <v>0.38175323599898991</v>
      </c>
      <c r="VW14" s="90">
        <f t="shared" si="349"/>
        <v>0.59</v>
      </c>
      <c r="VX14" s="90">
        <f t="shared" si="350"/>
        <v>15.41</v>
      </c>
      <c r="VY14" s="90">
        <f t="shared" si="351"/>
        <v>15.41</v>
      </c>
      <c r="VZ14" s="90">
        <f t="shared" si="352"/>
        <v>0</v>
      </c>
      <c r="WA14" s="90"/>
      <c r="WB14" s="90">
        <f t="shared" si="353"/>
        <v>15.41</v>
      </c>
      <c r="WC14" s="90">
        <f t="shared" si="354"/>
        <v>0</v>
      </c>
      <c r="WD14" s="90"/>
      <c r="WE14" s="90">
        <v>15.41</v>
      </c>
      <c r="WF14" s="90"/>
      <c r="WG14" s="90">
        <f t="shared" si="355"/>
        <v>2071.1040000000003</v>
      </c>
      <c r="WH14" s="90">
        <f t="shared" si="356"/>
        <v>2071.1040000000003</v>
      </c>
      <c r="WI14" s="90">
        <f t="shared" si="357"/>
        <v>2072.2800000000002</v>
      </c>
      <c r="WJ14" s="90">
        <f t="shared" si="358"/>
        <v>1096.5400000000002</v>
      </c>
      <c r="WK14" s="97">
        <v>975.74</v>
      </c>
      <c r="WL14" s="97">
        <v>7.26</v>
      </c>
      <c r="WM14" s="90">
        <f t="shared" si="359"/>
        <v>975.74</v>
      </c>
      <c r="WN14" s="90">
        <f t="shared" si="360"/>
        <v>7.26</v>
      </c>
      <c r="WO14" s="90"/>
      <c r="WP14" s="97">
        <v>15.41</v>
      </c>
      <c r="WQ14" s="90">
        <f t="shared" si="361"/>
        <v>15.41</v>
      </c>
      <c r="WR14" s="91">
        <f t="shared" si="362"/>
        <v>105.69272976680386</v>
      </c>
      <c r="WS14" s="91">
        <f t="shared" si="363"/>
        <v>136.61347517730496</v>
      </c>
      <c r="WT14" s="90">
        <f t="shared" si="364"/>
        <v>2071.1</v>
      </c>
      <c r="WU14" s="90">
        <f t="shared" si="365"/>
        <v>2072.2800000000002</v>
      </c>
      <c r="WV14" s="90">
        <f t="shared" si="366"/>
        <v>-1.180000000000291</v>
      </c>
      <c r="WW14" s="90"/>
      <c r="WX14" s="90"/>
      <c r="WY14" s="90"/>
      <c r="WZ14" s="90">
        <f t="shared" si="367"/>
        <v>7.2320434343434341</v>
      </c>
      <c r="XA14" s="90">
        <v>3.3</v>
      </c>
      <c r="XB14" s="90">
        <f t="shared" si="368"/>
        <v>10.532043434343434</v>
      </c>
      <c r="XC14" s="90">
        <f t="shared" si="369"/>
        <v>0.46229999999999999</v>
      </c>
      <c r="XD14" s="90">
        <f t="shared" si="370"/>
        <v>0.15565656565656566</v>
      </c>
      <c r="XE14" s="90"/>
      <c r="XF14" s="90">
        <f t="shared" si="371"/>
        <v>15.41</v>
      </c>
      <c r="XG14" s="90">
        <v>7.0436249999999987</v>
      </c>
      <c r="XH14" s="20">
        <v>11.28</v>
      </c>
      <c r="XI14" s="20">
        <v>3.3</v>
      </c>
      <c r="XJ14" s="20"/>
      <c r="XK14" s="20"/>
      <c r="XL14" s="20"/>
      <c r="XM14" s="20">
        <f t="shared" si="372"/>
        <v>14.579999999999998</v>
      </c>
      <c r="XN14" s="91">
        <f t="shared" si="373"/>
        <v>105.69272976680386</v>
      </c>
      <c r="XO14" s="20">
        <f t="shared" si="374"/>
        <v>11.28</v>
      </c>
      <c r="XP14" s="90">
        <f t="shared" si="375"/>
        <v>11.28</v>
      </c>
      <c r="XQ14" s="91">
        <f t="shared" si="376"/>
        <v>136.61347517730496</v>
      </c>
      <c r="XR14" s="102"/>
      <c r="XS14" s="90">
        <f t="shared" si="377"/>
        <v>3.64</v>
      </c>
      <c r="XT14" s="90">
        <f t="shared" si="378"/>
        <v>3.92</v>
      </c>
      <c r="XU14" s="90">
        <f t="shared" si="379"/>
        <v>3.92</v>
      </c>
      <c r="XV14" s="90">
        <f t="shared" si="380"/>
        <v>0</v>
      </c>
      <c r="XW14" s="90">
        <f t="shared" si="381"/>
        <v>0</v>
      </c>
      <c r="XX14" s="90">
        <f t="shared" si="382"/>
        <v>0</v>
      </c>
      <c r="XY14" s="90">
        <f t="shared" si="383"/>
        <v>0</v>
      </c>
      <c r="XZ14" s="90">
        <f t="shared" si="384"/>
        <v>0</v>
      </c>
      <c r="YA14" s="90">
        <f t="shared" si="385"/>
        <v>0</v>
      </c>
      <c r="YB14" s="90">
        <f t="shared" si="386"/>
        <v>0</v>
      </c>
      <c r="YC14" s="90">
        <f t="shared" si="386"/>
        <v>0</v>
      </c>
      <c r="YD14" s="90">
        <f t="shared" si="387"/>
        <v>0</v>
      </c>
      <c r="YE14" s="90">
        <f t="shared" si="388"/>
        <v>7.26</v>
      </c>
      <c r="YF14" s="90">
        <f t="shared" si="389"/>
        <v>0.59</v>
      </c>
      <c r="YG14" s="90">
        <f t="shared" si="390"/>
        <v>15.41</v>
      </c>
      <c r="YI14" s="103" t="s">
        <v>583</v>
      </c>
      <c r="YK14" s="90">
        <f t="shared" si="391"/>
        <v>1.07</v>
      </c>
      <c r="YL14" s="90">
        <f t="shared" si="392"/>
        <v>0</v>
      </c>
      <c r="YM14" s="90">
        <f t="shared" si="392"/>
        <v>0</v>
      </c>
      <c r="YN14" s="90">
        <f t="shared" si="393"/>
        <v>3.64</v>
      </c>
      <c r="YO14" s="90">
        <f t="shared" si="394"/>
        <v>10.7</v>
      </c>
      <c r="YP14" s="90">
        <f t="shared" si="395"/>
        <v>0</v>
      </c>
      <c r="YQ14" s="90">
        <f t="shared" si="396"/>
        <v>15.41</v>
      </c>
      <c r="YR14" s="90">
        <f t="shared" si="397"/>
        <v>0</v>
      </c>
      <c r="YS14" s="104">
        <f t="shared" si="398"/>
        <v>15.41</v>
      </c>
      <c r="YT14" s="104">
        <f t="shared" si="399"/>
        <v>0</v>
      </c>
      <c r="YY14" s="90">
        <f t="shared" si="400"/>
        <v>6.13</v>
      </c>
      <c r="YZ14" s="90">
        <f t="shared" si="401"/>
        <v>4.18</v>
      </c>
      <c r="ZA14" s="90">
        <f t="shared" si="402"/>
        <v>0</v>
      </c>
      <c r="ZB14" s="90">
        <f t="shared" si="403"/>
        <v>1.95</v>
      </c>
      <c r="ZC14" s="90">
        <f t="shared" si="404"/>
        <v>0</v>
      </c>
      <c r="ZD14" s="90">
        <f t="shared" si="405"/>
        <v>0</v>
      </c>
      <c r="ZE14" s="90">
        <f t="shared" si="406"/>
        <v>0</v>
      </c>
      <c r="ZF14" s="90">
        <f t="shared" si="407"/>
        <v>0</v>
      </c>
      <c r="ZG14" s="90">
        <f t="shared" si="408"/>
        <v>0</v>
      </c>
      <c r="ZH14" s="90">
        <f t="shared" si="409"/>
        <v>0</v>
      </c>
      <c r="ZI14" s="90">
        <f t="shared" si="410"/>
        <v>0</v>
      </c>
      <c r="ZJ14" s="90">
        <f t="shared" si="411"/>
        <v>0</v>
      </c>
      <c r="ZK14" s="90">
        <f t="shared" si="412"/>
        <v>0</v>
      </c>
      <c r="ZL14" s="90">
        <f t="shared" si="413"/>
        <v>0.08</v>
      </c>
      <c r="ZM14" s="90">
        <f t="shared" si="414"/>
        <v>4.1100000000000003</v>
      </c>
      <c r="ZN14" s="90">
        <f t="shared" si="415"/>
        <v>9.2099999999999991</v>
      </c>
      <c r="ZO14" s="90">
        <f t="shared" si="416"/>
        <v>7.26</v>
      </c>
      <c r="ZP14" s="90">
        <f t="shared" si="417"/>
        <v>7.26</v>
      </c>
      <c r="ZQ14" s="90">
        <f t="shared" si="418"/>
        <v>0</v>
      </c>
      <c r="ZR14" s="90">
        <f t="shared" si="419"/>
        <v>7.26</v>
      </c>
      <c r="ZS14" s="97">
        <v>227</v>
      </c>
      <c r="ZT14" s="97">
        <v>230.38</v>
      </c>
      <c r="ZU14" s="90">
        <f t="shared" si="420"/>
        <v>0.54</v>
      </c>
      <c r="ZV14" s="90">
        <f t="shared" si="421"/>
        <v>0.19</v>
      </c>
      <c r="ZW14" s="90">
        <v>0.11989898989898991</v>
      </c>
      <c r="ZX14" s="90">
        <f t="shared" si="422"/>
        <v>0.18230000000000002</v>
      </c>
      <c r="ZY14" s="90">
        <v>0.38175323599898991</v>
      </c>
      <c r="ZZ14" s="90">
        <f t="shared" si="423"/>
        <v>0.73</v>
      </c>
      <c r="AAA14" s="90">
        <f t="shared" si="424"/>
        <v>18.23</v>
      </c>
      <c r="AAB14" s="90">
        <f t="shared" si="425"/>
        <v>18.23</v>
      </c>
      <c r="AAC14" s="90">
        <f t="shared" si="426"/>
        <v>0</v>
      </c>
      <c r="AAD14" s="90"/>
      <c r="AAE14" s="90">
        <f t="shared" si="427"/>
        <v>18.23</v>
      </c>
      <c r="AAF14" s="90">
        <v>15.41</v>
      </c>
      <c r="AAG14" s="90">
        <f t="shared" si="428"/>
        <v>118.29980532121999</v>
      </c>
      <c r="AAH14" s="90">
        <f t="shared" si="429"/>
        <v>0</v>
      </c>
      <c r="AAI14" s="90">
        <v>0</v>
      </c>
      <c r="AAJ14" s="90"/>
      <c r="AAK14" s="1">
        <v>16</v>
      </c>
      <c r="AAL14" s="104">
        <f t="shared" si="430"/>
        <v>2.2300000000000004</v>
      </c>
      <c r="AAM14" s="103" t="s">
        <v>584</v>
      </c>
      <c r="AAN14" s="105">
        <v>4.21</v>
      </c>
      <c r="AAO14" s="90">
        <f t="shared" si="431"/>
        <v>6.59</v>
      </c>
      <c r="AAP14" s="90">
        <v>4.21</v>
      </c>
      <c r="AAQ14" s="90">
        <f t="shared" si="432"/>
        <v>4.18</v>
      </c>
      <c r="AAR14" s="90">
        <v>0</v>
      </c>
      <c r="AAS14" s="90">
        <f t="shared" si="433"/>
        <v>0</v>
      </c>
      <c r="AAT14" s="90"/>
      <c r="AAU14" s="90">
        <v>0</v>
      </c>
      <c r="AAV14" s="90">
        <f t="shared" si="434"/>
        <v>1.95</v>
      </c>
      <c r="AAW14" s="90"/>
      <c r="AAX14" s="90">
        <f t="shared" si="436"/>
        <v>0.46</v>
      </c>
      <c r="AAY14" s="90">
        <f t="shared" si="437"/>
        <v>0</v>
      </c>
      <c r="AAZ14" s="90">
        <f t="shared" si="438"/>
        <v>0</v>
      </c>
      <c r="ABA14" s="90">
        <f t="shared" si="439"/>
        <v>0</v>
      </c>
      <c r="ABB14" s="90">
        <f t="shared" si="440"/>
        <v>0</v>
      </c>
      <c r="ABC14" s="90">
        <v>0</v>
      </c>
      <c r="ABD14" s="90">
        <f t="shared" si="441"/>
        <v>0</v>
      </c>
      <c r="ABE14" s="90"/>
      <c r="ABF14" s="90">
        <v>0</v>
      </c>
      <c r="ABG14" s="90">
        <f t="shared" si="442"/>
        <v>0</v>
      </c>
      <c r="ABH14" s="90"/>
      <c r="ABI14" s="90">
        <f t="shared" si="443"/>
        <v>0</v>
      </c>
      <c r="ABJ14" s="90">
        <f t="shared" si="444"/>
        <v>0</v>
      </c>
      <c r="ABK14" s="90">
        <v>0</v>
      </c>
      <c r="ABL14" s="90">
        <f t="shared" si="445"/>
        <v>0</v>
      </c>
      <c r="ABM14" s="90">
        <f t="shared" si="446"/>
        <v>0</v>
      </c>
      <c r="ABN14" s="90">
        <f t="shared" si="447"/>
        <v>0.02</v>
      </c>
      <c r="ABO14" s="90">
        <v>3.91</v>
      </c>
      <c r="ABP14" s="90">
        <f t="shared" si="448"/>
        <v>4.1100000000000003</v>
      </c>
      <c r="ABQ14" s="90">
        <f t="shared" si="449"/>
        <v>105.1150895140665</v>
      </c>
      <c r="ABR14" s="90">
        <f t="shared" si="450"/>
        <v>9.2099999999999991</v>
      </c>
      <c r="ABS14" s="90">
        <f t="shared" si="451"/>
        <v>7.26</v>
      </c>
      <c r="ABT14" s="90">
        <v>7.26</v>
      </c>
      <c r="ABU14" s="90">
        <f t="shared" si="452"/>
        <v>7.26</v>
      </c>
      <c r="ABV14" s="90">
        <f t="shared" si="453"/>
        <v>100</v>
      </c>
      <c r="ABW14" s="90">
        <f t="shared" si="454"/>
        <v>0.02</v>
      </c>
      <c r="ABX14" s="90">
        <f t="shared" si="455"/>
        <v>7.2799999999999994</v>
      </c>
      <c r="ABY14" s="97">
        <v>227</v>
      </c>
      <c r="ABZ14" s="97">
        <v>230.38</v>
      </c>
      <c r="ACA14" s="90">
        <f t="shared" si="456"/>
        <v>0.54</v>
      </c>
      <c r="ACB14" s="90">
        <f t="shared" si="457"/>
        <v>0.19</v>
      </c>
      <c r="ACC14" s="90">
        <v>0.11989898989898991</v>
      </c>
      <c r="ACD14" s="90">
        <f t="shared" si="458"/>
        <v>0.1825</v>
      </c>
      <c r="ACE14" s="90">
        <v>0.38175323599898991</v>
      </c>
      <c r="ACF14" s="90">
        <v>0.62</v>
      </c>
      <c r="ACG14" s="90">
        <f t="shared" si="459"/>
        <v>0.73</v>
      </c>
      <c r="ACH14" s="90">
        <f t="shared" si="460"/>
        <v>117.74193548387098</v>
      </c>
      <c r="ACI14" s="90">
        <f t="shared" si="461"/>
        <v>18.690000000000001</v>
      </c>
      <c r="ACJ14" s="90">
        <f t="shared" si="462"/>
        <v>18.25</v>
      </c>
      <c r="ACK14" s="90">
        <f t="shared" si="463"/>
        <v>-0.44000000000000128</v>
      </c>
      <c r="ACL14" s="90"/>
      <c r="ACM14" s="90">
        <f t="shared" si="464"/>
        <v>18.690000000000001</v>
      </c>
      <c r="ACN14" s="90">
        <f t="shared" si="465"/>
        <v>0</v>
      </c>
      <c r="ACO14" s="90">
        <f t="shared" si="466"/>
        <v>18.690000000000001</v>
      </c>
      <c r="ACP14" s="90">
        <v>16</v>
      </c>
      <c r="ACQ14" s="90">
        <f t="shared" si="467"/>
        <v>116.81250000000001</v>
      </c>
      <c r="ACR14" s="90">
        <f t="shared" si="468"/>
        <v>0</v>
      </c>
      <c r="ACS14" s="90">
        <v>0</v>
      </c>
      <c r="ACT14" s="90"/>
      <c r="ACU14" s="90">
        <f t="shared" si="469"/>
        <v>16.815999999999999</v>
      </c>
      <c r="ACV14" s="90">
        <f t="shared" si="470"/>
        <v>-1.8740000000000023</v>
      </c>
      <c r="ACX14" s="106" t="s">
        <v>584</v>
      </c>
      <c r="ACY14" s="107"/>
      <c r="ACZ14" s="107"/>
      <c r="ADB14" s="90">
        <f t="shared" si="471"/>
        <v>4.1100000000000003</v>
      </c>
      <c r="ADC14" s="90">
        <f t="shared" si="472"/>
        <v>6.59</v>
      </c>
      <c r="ADD14" s="90">
        <f t="shared" si="473"/>
        <v>4.18</v>
      </c>
      <c r="ADE14" s="90">
        <f t="shared" si="474"/>
        <v>0.46</v>
      </c>
      <c r="ADF14" s="90">
        <f t="shared" si="475"/>
        <v>0</v>
      </c>
      <c r="ADG14" s="90">
        <f t="shared" si="476"/>
        <v>0.46</v>
      </c>
      <c r="ADH14" s="90">
        <f t="shared" si="476"/>
        <v>0</v>
      </c>
      <c r="ADI14" s="90">
        <f t="shared" si="476"/>
        <v>0</v>
      </c>
      <c r="ADJ14" s="90">
        <f t="shared" si="477"/>
        <v>1.95</v>
      </c>
      <c r="ADK14" s="90">
        <f t="shared" si="478"/>
        <v>0</v>
      </c>
      <c r="ADL14" s="90">
        <f t="shared" si="479"/>
        <v>0</v>
      </c>
      <c r="ADM14" s="90">
        <f t="shared" si="480"/>
        <v>0</v>
      </c>
      <c r="ADN14" s="90">
        <f t="shared" si="480"/>
        <v>0</v>
      </c>
      <c r="ADO14" s="90">
        <f t="shared" si="481"/>
        <v>1.95</v>
      </c>
      <c r="ADP14" s="90">
        <f t="shared" si="482"/>
        <v>7.26</v>
      </c>
      <c r="ADQ14" s="90">
        <f t="shared" si="483"/>
        <v>0.73</v>
      </c>
      <c r="ADR14" s="90">
        <f t="shared" si="484"/>
        <v>18.690000000000001</v>
      </c>
      <c r="ADU14" s="90">
        <f t="shared" si="485"/>
        <v>1.1499999999999999</v>
      </c>
      <c r="ADV14" s="90">
        <f t="shared" si="486"/>
        <v>0</v>
      </c>
      <c r="ADW14" s="90">
        <f t="shared" si="487"/>
        <v>1.95</v>
      </c>
      <c r="ADX14" s="90">
        <f t="shared" si="488"/>
        <v>4.1100000000000003</v>
      </c>
      <c r="ADY14" s="90">
        <f t="shared" si="489"/>
        <v>11.02</v>
      </c>
      <c r="ADZ14" s="90">
        <f t="shared" si="490"/>
        <v>0</v>
      </c>
      <c r="AEA14" s="90">
        <f t="shared" si="491"/>
        <v>18.690000000000001</v>
      </c>
      <c r="AEB14" s="90">
        <f t="shared" si="492"/>
        <v>0</v>
      </c>
      <c r="AEC14" s="104">
        <f t="shared" si="493"/>
        <v>18.23</v>
      </c>
      <c r="AED14" s="104">
        <f t="shared" si="494"/>
        <v>0.46000000000000085</v>
      </c>
      <c r="AEG14" s="1">
        <v>4.21</v>
      </c>
      <c r="AEH14" s="1">
        <v>4.21</v>
      </c>
      <c r="AEI14" s="1">
        <v>0</v>
      </c>
      <c r="AEJ14" s="1">
        <v>0</v>
      </c>
      <c r="AEK14" s="1">
        <v>0</v>
      </c>
      <c r="AEL14" s="1">
        <v>0</v>
      </c>
      <c r="AEM14" s="1">
        <v>0</v>
      </c>
      <c r="AEN14" s="1">
        <v>0</v>
      </c>
      <c r="AEO14" s="1">
        <v>0</v>
      </c>
      <c r="AEP14" s="1">
        <v>0</v>
      </c>
      <c r="AEQ14" s="1">
        <v>0</v>
      </c>
      <c r="AER14" s="1">
        <v>0</v>
      </c>
      <c r="AES14" s="1">
        <v>0</v>
      </c>
      <c r="AET14" s="1">
        <v>0</v>
      </c>
      <c r="AEU14" s="1">
        <v>0</v>
      </c>
      <c r="AEV14" s="1">
        <v>0.02</v>
      </c>
      <c r="AEW14" s="1">
        <v>3.91</v>
      </c>
      <c r="AEX14" s="1">
        <v>7.26</v>
      </c>
      <c r="AEY14" s="1">
        <v>7.26</v>
      </c>
      <c r="AEZ14" s="1">
        <v>7.26</v>
      </c>
      <c r="AFA14" s="1">
        <v>0.02</v>
      </c>
      <c r="AFB14" s="1">
        <v>7.2799999999999994</v>
      </c>
      <c r="AFC14" s="1">
        <v>227</v>
      </c>
      <c r="AFD14" s="1">
        <v>230.38</v>
      </c>
      <c r="AFE14" s="1">
        <v>0.46</v>
      </c>
      <c r="AFF14" s="1">
        <v>0.16</v>
      </c>
      <c r="AFG14" s="1">
        <v>0.11989898989898991</v>
      </c>
      <c r="AFH14" s="1">
        <v>0.16020000000000001</v>
      </c>
      <c r="AFI14" s="1">
        <v>0.38175323599898991</v>
      </c>
      <c r="AFJ14" s="1">
        <v>0.62</v>
      </c>
      <c r="AFK14" s="1">
        <v>16</v>
      </c>
      <c r="AFL14" s="1">
        <v>16.02</v>
      </c>
      <c r="AFM14" s="1">
        <v>1.9999999999999574E-2</v>
      </c>
      <c r="AFO14" s="1">
        <v>16</v>
      </c>
      <c r="AFP14" s="1">
        <v>0</v>
      </c>
      <c r="AFQ14" s="1">
        <v>16</v>
      </c>
      <c r="AFX14" s="1">
        <v>18.68</v>
      </c>
    </row>
  </sheetData>
  <mergeCells count="120">
    <mergeCell ref="ADB4:ADR4"/>
    <mergeCell ref="A6:A8"/>
    <mergeCell ref="C6:C8"/>
    <mergeCell ref="UW6:VX6"/>
    <mergeCell ref="WZ6:XF6"/>
    <mergeCell ref="XG6:XM6"/>
    <mergeCell ref="XS6:XS8"/>
    <mergeCell ref="XT6:XT8"/>
    <mergeCell ref="XU6:YD6"/>
    <mergeCell ref="YE6:YE8"/>
    <mergeCell ref="B7:B8"/>
    <mergeCell ref="D7:D8"/>
    <mergeCell ref="E7:E8"/>
    <mergeCell ref="F7:F8"/>
    <mergeCell ref="G7:G8"/>
    <mergeCell ref="I7:I8"/>
    <mergeCell ref="J7:J8"/>
    <mergeCell ref="ACQ6:ACQ8"/>
    <mergeCell ref="ACT6:ACT8"/>
    <mergeCell ref="YF6:YF8"/>
    <mergeCell ref="YG6:YG8"/>
    <mergeCell ref="YY6:AAA6"/>
    <mergeCell ref="AAH6:AAH8"/>
    <mergeCell ref="AAJ6:AAJ8"/>
    <mergeCell ref="AAO6:ACG6"/>
    <mergeCell ref="ZN7:ZN8"/>
    <mergeCell ref="ZO7:ZO8"/>
    <mergeCell ref="ZP7:ZP8"/>
    <mergeCell ref="ZQ7:ZQ8"/>
    <mergeCell ref="K7:K8"/>
    <mergeCell ref="S7:S8"/>
    <mergeCell ref="UW7:UW8"/>
    <mergeCell ref="UX7:VJ7"/>
    <mergeCell ref="VK7:VK8"/>
    <mergeCell ref="VL7:VL8"/>
    <mergeCell ref="ADP6:ADP8"/>
    <mergeCell ref="ADQ6:ADQ8"/>
    <mergeCell ref="ADR6:ADR8"/>
    <mergeCell ref="ACX6:ACX8"/>
    <mergeCell ref="ADB6:ADB8"/>
    <mergeCell ref="ADC6:ADC8"/>
    <mergeCell ref="ADD6:ADO6"/>
    <mergeCell ref="ACY7:ACY8"/>
    <mergeCell ref="ADD7:ADD8"/>
    <mergeCell ref="ADE7:ADE8"/>
    <mergeCell ref="ADF7:ADI7"/>
    <mergeCell ref="VX7:VX8"/>
    <mergeCell ref="VY7:VY8"/>
    <mergeCell ref="WA7:WA8"/>
    <mergeCell ref="WB7:WB8"/>
    <mergeCell ref="WC7:WC8"/>
    <mergeCell ref="WE7:WE8"/>
    <mergeCell ref="VM7:VM8"/>
    <mergeCell ref="VN7:VN8"/>
    <mergeCell ref="VO7:VO8"/>
    <mergeCell ref="VR7:VR8"/>
    <mergeCell ref="VS7:VS8"/>
    <mergeCell ref="VW7:VW8"/>
    <mergeCell ref="XF7:XF8"/>
    <mergeCell ref="XG7:XG8"/>
    <mergeCell ref="XM7:XM8"/>
    <mergeCell ref="XU7:XU8"/>
    <mergeCell ref="XV7:XV8"/>
    <mergeCell ref="XW7:XX7"/>
    <mergeCell ref="WP7:WP8"/>
    <mergeCell ref="WQ7:WQ8"/>
    <mergeCell ref="WR7:WR8"/>
    <mergeCell ref="WS7:WS8"/>
    <mergeCell ref="WT7:WT8"/>
    <mergeCell ref="WZ7:XB7"/>
    <mergeCell ref="ZR7:ZR8"/>
    <mergeCell ref="ZU7:ZU8"/>
    <mergeCell ref="ZV7:ZV8"/>
    <mergeCell ref="ZZ7:ZZ8"/>
    <mergeCell ref="AAA7:AAA8"/>
    <mergeCell ref="AAB7:AAB8"/>
    <mergeCell ref="XY7:XY8"/>
    <mergeCell ref="XZ7:YD7"/>
    <mergeCell ref="YY7:YY8"/>
    <mergeCell ref="YZ7:ZK7"/>
    <mergeCell ref="ZL7:ZL8"/>
    <mergeCell ref="ZM7:ZM8"/>
    <mergeCell ref="AAN7:AAN8"/>
    <mergeCell ref="AAO7:AAO8"/>
    <mergeCell ref="AAP7:ABL7"/>
    <mergeCell ref="ABN7:ABN8"/>
    <mergeCell ref="ABO7:ABO8"/>
    <mergeCell ref="ABP7:ABP8"/>
    <mergeCell ref="AAD7:AAD8"/>
    <mergeCell ref="AAE7:AAE8"/>
    <mergeCell ref="AAF7:AAF8"/>
    <mergeCell ref="AAG7:AAG8"/>
    <mergeCell ref="AAI7:AAI8"/>
    <mergeCell ref="AAM7:AAM8"/>
    <mergeCell ref="ABW7:ABW8"/>
    <mergeCell ref="ABX7:ABX8"/>
    <mergeCell ref="ACA7:ACA8"/>
    <mergeCell ref="ACB7:ACB8"/>
    <mergeCell ref="ACF7:ACF8"/>
    <mergeCell ref="ACG7:ACG8"/>
    <mergeCell ref="ABQ7:ABQ8"/>
    <mergeCell ref="ABR7:ABR8"/>
    <mergeCell ref="ABS7:ABS8"/>
    <mergeCell ref="ABT7:ABT8"/>
    <mergeCell ref="ABU7:ABU8"/>
    <mergeCell ref="ABV7:ABV8"/>
    <mergeCell ref="ADJ7:ADJ8"/>
    <mergeCell ref="ADK7:ADO7"/>
    <mergeCell ref="ACO7:ACO8"/>
    <mergeCell ref="ACP7:ACP8"/>
    <mergeCell ref="ACR7:ACR8"/>
    <mergeCell ref="ACS7:ACS8"/>
    <mergeCell ref="ACU7:ACU8"/>
    <mergeCell ref="ACV7:ACV8"/>
    <mergeCell ref="ACH7:ACH8"/>
    <mergeCell ref="ACI7:ACI8"/>
    <mergeCell ref="ACJ7:ACJ8"/>
    <mergeCell ref="ACL7:ACL8"/>
    <mergeCell ref="ACM7:ACM8"/>
    <mergeCell ref="ACN7:ACN8"/>
  </mergeCells>
  <pageMargins left="0" right="0" top="0.19685039370078741" bottom="0.19685039370078741" header="0.51181102362204722" footer="0.51181102362204722"/>
  <pageSetup paperSize="9" scale="43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X60"/>
  <sheetViews>
    <sheetView zoomScale="61" zoomScaleNormal="61" workbookViewId="0">
      <pane xSplit="716" ySplit="8" topLeftCell="AAO54" activePane="bottomRight" state="frozen"/>
      <selection pane="topRight" activeCell="AAO1" sqref="AAO1"/>
      <selection pane="bottomLeft" activeCell="A9" sqref="A9"/>
      <selection pane="bottomRight" activeCell="AAO4" sqref="AAO4"/>
    </sheetView>
  </sheetViews>
  <sheetFormatPr defaultRowHeight="12.75"/>
  <cols>
    <col min="1" max="1" width="6" customWidth="1"/>
    <col min="2" max="2" width="3.85546875" hidden="1" customWidth="1"/>
    <col min="3" max="3" width="43.28515625" style="114" customWidth="1"/>
    <col min="4" max="4" width="5.7109375" hidden="1" customWidth="1"/>
    <col min="5" max="5" width="8.42578125" hidden="1" customWidth="1"/>
    <col min="6" max="6" width="6.5703125" hidden="1" customWidth="1"/>
    <col min="7" max="7" width="7" hidden="1" customWidth="1"/>
    <col min="8" max="8" width="7.140625" hidden="1" customWidth="1"/>
    <col min="9" max="9" width="14.7109375" hidden="1" customWidth="1"/>
    <col min="10" max="10" width="13.7109375" hidden="1" customWidth="1"/>
    <col min="11" max="11" width="12.140625" hidden="1" customWidth="1"/>
    <col min="12" max="12" width="8.42578125" hidden="1" customWidth="1"/>
    <col min="13" max="13" width="7.5703125" hidden="1" customWidth="1"/>
    <col min="14" max="14" width="9.28515625" hidden="1" customWidth="1"/>
    <col min="15" max="15" width="6.7109375" hidden="1" customWidth="1"/>
    <col min="16" max="16" width="7.5703125" hidden="1" customWidth="1"/>
    <col min="17" max="17" width="7.85546875" hidden="1" customWidth="1"/>
    <col min="18" max="18" width="6.42578125" hidden="1" customWidth="1"/>
    <col min="19" max="19" width="14.140625" hidden="1" customWidth="1"/>
    <col min="20" max="20" width="9.28515625" hidden="1" customWidth="1"/>
    <col min="21" max="21" width="9" hidden="1" customWidth="1"/>
    <col min="22" max="22" width="11.42578125" hidden="1" customWidth="1"/>
    <col min="23" max="23" width="8.5703125" hidden="1" customWidth="1"/>
    <col min="24" max="24" width="8.140625" hidden="1" customWidth="1"/>
    <col min="25" max="25" width="10.7109375" hidden="1" customWidth="1"/>
    <col min="26" max="26" width="9.7109375" hidden="1" customWidth="1"/>
    <col min="27" max="27" width="3.7109375" hidden="1" customWidth="1"/>
    <col min="28" max="28" width="10" hidden="1" customWidth="1"/>
    <col min="29" max="29" width="12.85546875" hidden="1" customWidth="1"/>
    <col min="30" max="30" width="8.42578125" hidden="1" customWidth="1"/>
    <col min="31" max="31" width="6.5703125" style="115" hidden="1" customWidth="1"/>
    <col min="32" max="32" width="11.7109375" hidden="1" customWidth="1"/>
    <col min="33" max="33" width="12.85546875" hidden="1" customWidth="1"/>
    <col min="34" max="34" width="15.28515625" hidden="1" customWidth="1"/>
    <col min="35" max="35" width="13.7109375" hidden="1" customWidth="1"/>
    <col min="36" max="37" width="12.5703125" hidden="1" customWidth="1"/>
    <col min="38" max="38" width="12.42578125" hidden="1" customWidth="1"/>
    <col min="39" max="39" width="16.140625" hidden="1" customWidth="1"/>
    <col min="40" max="40" width="10" hidden="1" customWidth="1"/>
    <col min="41" max="41" width="9.7109375" hidden="1" customWidth="1"/>
    <col min="42" max="42" width="12.7109375" hidden="1" customWidth="1"/>
    <col min="43" max="43" width="13" hidden="1" customWidth="1"/>
    <col min="44" max="44" width="12.42578125" hidden="1" customWidth="1"/>
    <col min="45" max="45" width="13" hidden="1" customWidth="1"/>
    <col min="46" max="46" width="7.85546875" hidden="1" customWidth="1"/>
    <col min="47" max="47" width="12" hidden="1" customWidth="1"/>
    <col min="48" max="48" width="10.7109375" hidden="1" customWidth="1"/>
    <col min="49" max="49" width="11.28515625" hidden="1" customWidth="1"/>
    <col min="50" max="50" width="14.42578125" hidden="1" customWidth="1"/>
    <col min="51" max="51" width="10.7109375" hidden="1" customWidth="1"/>
    <col min="52" max="52" width="11.140625" hidden="1" customWidth="1"/>
    <col min="53" max="55" width="15.42578125" hidden="1" customWidth="1"/>
    <col min="56" max="56" width="17.5703125" style="115" hidden="1" customWidth="1"/>
    <col min="57" max="57" width="14.42578125" hidden="1" customWidth="1"/>
    <col min="58" max="58" width="10.28515625" hidden="1" customWidth="1"/>
    <col min="59" max="59" width="11.28515625" hidden="1" customWidth="1"/>
    <col min="60" max="60" width="17" hidden="1" customWidth="1"/>
    <col min="61" max="61" width="10.5703125" hidden="1" customWidth="1"/>
    <col min="62" max="62" width="11.140625" hidden="1" customWidth="1"/>
    <col min="63" max="63" width="19.7109375" hidden="1" customWidth="1"/>
    <col min="64" max="64" width="10" hidden="1" customWidth="1"/>
    <col min="65" max="65" width="14.5703125" hidden="1" customWidth="1"/>
    <col min="66" max="66" width="17.140625" hidden="1" customWidth="1"/>
    <col min="67" max="67" width="16.28515625" hidden="1" customWidth="1"/>
    <col min="68" max="68" width="10.140625" hidden="1" customWidth="1"/>
    <col min="69" max="69" width="15" hidden="1" customWidth="1"/>
    <col min="70" max="71" width="16.140625" hidden="1" customWidth="1"/>
    <col min="72" max="72" width="10.140625" hidden="1" customWidth="1"/>
    <col min="73" max="73" width="9.85546875" hidden="1" customWidth="1"/>
    <col min="74" max="74" width="8" hidden="1" customWidth="1"/>
    <col min="75" max="76" width="4.42578125" hidden="1" customWidth="1"/>
    <col min="77" max="77" width="5.5703125" hidden="1" customWidth="1"/>
    <col min="78" max="78" width="4.5703125" hidden="1" customWidth="1"/>
    <col min="79" max="79" width="6.5703125" hidden="1" customWidth="1"/>
    <col min="80" max="80" width="10.28515625" hidden="1" customWidth="1"/>
    <col min="81" max="81" width="5" hidden="1" customWidth="1"/>
    <col min="82" max="82" width="6.140625" hidden="1" customWidth="1"/>
    <col min="83" max="83" width="6.7109375" hidden="1" customWidth="1"/>
    <col min="84" max="84" width="10.5703125" hidden="1" customWidth="1"/>
    <col min="85" max="85" width="7" hidden="1" customWidth="1"/>
    <col min="86" max="86" width="7.7109375" hidden="1" customWidth="1"/>
    <col min="87" max="87" width="16.5703125" hidden="1" customWidth="1"/>
    <col min="88" max="88" width="2" hidden="1" customWidth="1"/>
    <col min="89" max="89" width="13.5703125" hidden="1" customWidth="1"/>
    <col min="90" max="90" width="5.7109375" hidden="1" customWidth="1"/>
    <col min="91" max="91" width="5.85546875" hidden="1" customWidth="1"/>
    <col min="92" max="92" width="12.5703125" hidden="1" customWidth="1"/>
    <col min="93" max="93" width="11.140625" hidden="1" customWidth="1"/>
    <col min="94" max="94" width="6.28515625" hidden="1" customWidth="1"/>
    <col min="95" max="95" width="6.7109375" hidden="1" customWidth="1"/>
    <col min="96" max="96" width="9.140625" hidden="1" customWidth="1"/>
    <col min="97" max="97" width="6.7109375" hidden="1" customWidth="1"/>
    <col min="98" max="98" width="5.28515625" hidden="1" customWidth="1"/>
    <col min="99" max="99" width="7.5703125" hidden="1" customWidth="1"/>
    <col min="100" max="100" width="10.85546875" hidden="1" customWidth="1"/>
    <col min="101" max="101" width="15" hidden="1" customWidth="1"/>
    <col min="102" max="102" width="17.140625" hidden="1" customWidth="1"/>
    <col min="103" max="103" width="0.42578125" hidden="1" customWidth="1"/>
    <col min="104" max="104" width="13.5703125" hidden="1" customWidth="1"/>
    <col min="105" max="105" width="6.140625" hidden="1" customWidth="1"/>
    <col min="106" max="106" width="10.85546875" hidden="1" customWidth="1"/>
    <col min="107" max="107" width="12" hidden="1" customWidth="1"/>
    <col min="108" max="108" width="11.28515625" hidden="1" customWidth="1"/>
    <col min="109" max="110" width="6.5703125" hidden="1" customWidth="1"/>
    <col min="111" max="111" width="6" hidden="1" customWidth="1"/>
    <col min="112" max="112" width="11.140625" hidden="1" customWidth="1"/>
    <col min="113" max="113" width="5.28515625" hidden="1" customWidth="1"/>
    <col min="114" max="114" width="6.28515625" hidden="1" customWidth="1"/>
    <col min="115" max="115" width="6.5703125" hidden="1" customWidth="1"/>
    <col min="116" max="116" width="0.28515625" hidden="1" customWidth="1"/>
    <col min="117" max="117" width="14.28515625" hidden="1" customWidth="1"/>
    <col min="118" max="118" width="19.140625" hidden="1" customWidth="1"/>
    <col min="119" max="119" width="2.42578125" hidden="1" customWidth="1"/>
    <col min="120" max="120" width="13.5703125" hidden="1" customWidth="1"/>
    <col min="121" max="121" width="5.42578125" hidden="1" customWidth="1"/>
    <col min="122" max="122" width="9.5703125" hidden="1" customWidth="1"/>
    <col min="123" max="123" width="4.42578125" hidden="1" customWidth="1"/>
    <col min="124" max="124" width="3.7109375" hidden="1" customWidth="1"/>
    <col min="125" max="125" width="4.140625" hidden="1" customWidth="1"/>
    <col min="126" max="126" width="0.140625" hidden="1" customWidth="1"/>
    <col min="127" max="127" width="5.28515625" hidden="1" customWidth="1"/>
    <col min="128" max="128" width="4.140625" hidden="1" customWidth="1"/>
    <col min="129" max="129" width="7.5703125" hidden="1" customWidth="1"/>
    <col min="130" max="130" width="7.28515625" hidden="1" customWidth="1"/>
    <col min="131" max="131" width="13.140625" hidden="1" customWidth="1"/>
    <col min="132" max="132" width="20.28515625" hidden="1" customWidth="1"/>
    <col min="133" max="133" width="0.28515625" hidden="1" customWidth="1"/>
    <col min="134" max="134" width="13.5703125" hidden="1" customWidth="1"/>
    <col min="135" max="135" width="4.42578125" hidden="1" customWidth="1"/>
    <col min="136" max="136" width="7.42578125" hidden="1" customWidth="1"/>
    <col min="137" max="137" width="13.28515625" hidden="1" customWidth="1"/>
    <col min="138" max="138" width="10.85546875" hidden="1" customWidth="1"/>
    <col min="139" max="139" width="5.5703125" hidden="1" customWidth="1"/>
    <col min="140" max="140" width="5.7109375" hidden="1" customWidth="1"/>
    <col min="141" max="141" width="11.42578125" hidden="1" customWidth="1"/>
    <col min="142" max="142" width="6.5703125" hidden="1" customWidth="1"/>
    <col min="143" max="143" width="7.5703125" hidden="1" customWidth="1"/>
    <col min="144" max="144" width="6.42578125" hidden="1" customWidth="1"/>
    <col min="145" max="145" width="9" hidden="1" customWidth="1"/>
    <col min="146" max="146" width="7" hidden="1" customWidth="1"/>
    <col min="147" max="147" width="20.5703125" hidden="1" customWidth="1"/>
    <col min="148" max="148" width="1.85546875" hidden="1" customWidth="1"/>
    <col min="149" max="149" width="13.5703125" hidden="1" customWidth="1"/>
    <col min="150" max="150" width="5.7109375" hidden="1" customWidth="1"/>
    <col min="151" max="151" width="9.28515625" hidden="1" customWidth="1"/>
    <col min="152" max="152" width="13.7109375" hidden="1" customWidth="1"/>
    <col min="153" max="153" width="12.5703125" hidden="1" customWidth="1"/>
    <col min="154" max="154" width="6.28515625" hidden="1" customWidth="1"/>
    <col min="155" max="155" width="5.28515625" hidden="1" customWidth="1"/>
    <col min="156" max="156" width="10.85546875" hidden="1" customWidth="1"/>
    <col min="157" max="157" width="7" hidden="1" customWidth="1"/>
    <col min="158" max="158" width="6.5703125" hidden="1" customWidth="1"/>
    <col min="159" max="159" width="7.42578125" hidden="1" customWidth="1"/>
    <col min="160" max="160" width="10.140625" hidden="1" customWidth="1"/>
    <col min="161" max="161" width="14.42578125" hidden="1" customWidth="1"/>
    <col min="162" max="162" width="19.5703125" hidden="1" customWidth="1"/>
    <col min="163" max="163" width="2.42578125" hidden="1" customWidth="1"/>
    <col min="164" max="164" width="13.5703125" hidden="1" customWidth="1"/>
    <col min="165" max="165" width="5.5703125" hidden="1" customWidth="1"/>
    <col min="166" max="166" width="9.5703125" hidden="1" customWidth="1"/>
    <col min="167" max="167" width="9.28515625" hidden="1" customWidth="1"/>
    <col min="168" max="168" width="11.7109375" hidden="1" customWidth="1"/>
    <col min="169" max="169" width="5.5703125" hidden="1" customWidth="1"/>
    <col min="170" max="170" width="8.42578125" hidden="1" customWidth="1"/>
    <col min="171" max="171" width="8" hidden="1" customWidth="1"/>
    <col min="172" max="173" width="6.140625" hidden="1" customWidth="1"/>
    <col min="174" max="174" width="8" hidden="1" customWidth="1"/>
    <col min="175" max="175" width="9.140625" hidden="1" customWidth="1"/>
    <col min="176" max="176" width="8.28515625" hidden="1" customWidth="1"/>
    <col min="177" max="177" width="10.7109375" hidden="1" customWidth="1"/>
    <col min="178" max="178" width="19.7109375" hidden="1" customWidth="1"/>
    <col min="179" max="179" width="19.85546875" hidden="1" customWidth="1"/>
    <col min="180" max="180" width="1.7109375" hidden="1" customWidth="1"/>
    <col min="181" max="181" width="13.5703125" hidden="1" customWidth="1"/>
    <col min="182" max="182" width="6.28515625" hidden="1" customWidth="1"/>
    <col min="183" max="183" width="9.5703125" hidden="1" customWidth="1"/>
    <col min="184" max="184" width="11.28515625" hidden="1" customWidth="1"/>
    <col min="185" max="185" width="9.7109375" hidden="1" customWidth="1"/>
    <col min="186" max="186" width="6.85546875" hidden="1" customWidth="1"/>
    <col min="187" max="187" width="4.5703125" hidden="1" customWidth="1"/>
    <col min="188" max="188" width="6" hidden="1" customWidth="1"/>
    <col min="189" max="189" width="6.7109375" hidden="1" customWidth="1"/>
    <col min="190" max="190" width="5.42578125" hidden="1" customWidth="1"/>
    <col min="191" max="191" width="0.140625" hidden="1" customWidth="1"/>
    <col min="192" max="192" width="14.85546875" hidden="1" customWidth="1"/>
    <col min="193" max="193" width="19" hidden="1" customWidth="1"/>
    <col min="194" max="194" width="3.42578125" hidden="1" customWidth="1"/>
    <col min="195" max="195" width="13.5703125" hidden="1" customWidth="1"/>
    <col min="196" max="196" width="4.85546875" hidden="1" customWidth="1"/>
    <col min="197" max="198" width="15.85546875" hidden="1" customWidth="1"/>
    <col min="199" max="199" width="12.85546875" hidden="1" customWidth="1"/>
    <col min="200" max="200" width="15.85546875" hidden="1" customWidth="1"/>
    <col min="201" max="201" width="14.42578125" hidden="1" customWidth="1"/>
    <col min="202" max="202" width="8.42578125" hidden="1" customWidth="1"/>
    <col min="203" max="203" width="17.42578125" hidden="1" customWidth="1"/>
    <col min="204" max="204" width="13.7109375" hidden="1" customWidth="1"/>
    <col min="205" max="205" width="14.7109375" hidden="1" customWidth="1"/>
    <col min="206" max="206" width="9.7109375" hidden="1" customWidth="1"/>
    <col min="207" max="207" width="17" hidden="1" customWidth="1"/>
    <col min="208" max="208" width="15" hidden="1" customWidth="1"/>
    <col min="209" max="209" width="15.28515625" hidden="1" customWidth="1"/>
    <col min="210" max="210" width="9.42578125" hidden="1" customWidth="1"/>
    <col min="211" max="211" width="17" hidden="1" customWidth="1"/>
    <col min="212" max="212" width="15" hidden="1" customWidth="1"/>
    <col min="213" max="213" width="15.28515625" hidden="1" customWidth="1"/>
    <col min="214" max="216" width="9.42578125" hidden="1" customWidth="1"/>
    <col min="217" max="217" width="4.85546875" hidden="1" customWidth="1"/>
    <col min="218" max="218" width="4.42578125" hidden="1" customWidth="1"/>
    <col min="219" max="219" width="6.5703125" hidden="1" customWidth="1"/>
    <col min="220" max="220" width="11.140625" hidden="1" customWidth="1"/>
    <col min="221" max="221" width="7.7109375" hidden="1" customWidth="1"/>
    <col min="222" max="222" width="15.42578125" hidden="1" customWidth="1"/>
    <col min="223" max="223" width="8" hidden="1" customWidth="1"/>
    <col min="224" max="224" width="15.42578125" hidden="1" customWidth="1"/>
    <col min="225" max="225" width="8" hidden="1" customWidth="1"/>
    <col min="226" max="226" width="14.85546875" hidden="1" customWidth="1"/>
    <col min="227" max="227" width="5.7109375" hidden="1" customWidth="1"/>
    <col min="228" max="228" width="11" hidden="1" customWidth="1"/>
    <col min="229" max="229" width="11.5703125" hidden="1" customWidth="1"/>
    <col min="230" max="230" width="4.85546875" hidden="1" customWidth="1"/>
    <col min="231" max="231" width="7.28515625" hidden="1" customWidth="1"/>
    <col min="232" max="232" width="12.85546875" hidden="1" customWidth="1"/>
    <col min="233" max="233" width="4.28515625" hidden="1" customWidth="1"/>
    <col min="234" max="234" width="12.7109375" hidden="1" customWidth="1"/>
    <col min="235" max="235" width="8" hidden="1" customWidth="1"/>
    <col min="236" max="236" width="8.85546875" hidden="1" customWidth="1"/>
    <col min="237" max="237" width="8.5703125" hidden="1" customWidth="1"/>
    <col min="238" max="238" width="7.42578125" hidden="1" customWidth="1"/>
    <col min="239" max="239" width="16.7109375" hidden="1" customWidth="1"/>
    <col min="240" max="240" width="7.85546875" hidden="1" customWidth="1"/>
    <col min="241" max="241" width="15.140625" style="115" hidden="1" customWidth="1"/>
    <col min="242" max="243" width="7.85546875" hidden="1" customWidth="1"/>
    <col min="244" max="244" width="22.5703125" hidden="1" customWidth="1"/>
    <col min="245" max="245" width="7.85546875" hidden="1" customWidth="1"/>
    <col min="246" max="246" width="25.7109375" hidden="1" customWidth="1"/>
    <col min="247" max="247" width="7.7109375" hidden="1" customWidth="1"/>
    <col min="248" max="248" width="25.42578125" hidden="1" customWidth="1"/>
    <col min="249" max="249" width="7.7109375" hidden="1" customWidth="1"/>
    <col min="250" max="250" width="4.5703125" hidden="1" customWidth="1"/>
    <col min="251" max="251" width="3.42578125" hidden="1" customWidth="1"/>
    <col min="252" max="252" width="4.140625" hidden="1" customWidth="1"/>
    <col min="253" max="253" width="4.7109375" hidden="1" customWidth="1"/>
    <col min="254" max="254" width="4.28515625" hidden="1" customWidth="1"/>
    <col min="255" max="255" width="4.5703125" hidden="1" customWidth="1"/>
    <col min="256" max="256" width="3.140625" hidden="1" customWidth="1"/>
    <col min="257" max="257" width="3.7109375" hidden="1" customWidth="1"/>
    <col min="258" max="258" width="5.42578125" hidden="1" customWidth="1"/>
    <col min="259" max="259" width="4.140625" hidden="1" customWidth="1"/>
    <col min="260" max="260" width="4.28515625" hidden="1" customWidth="1"/>
    <col min="261" max="261" width="5.5703125" hidden="1" customWidth="1"/>
    <col min="262" max="262" width="23" hidden="1" customWidth="1"/>
    <col min="263" max="263" width="0.140625" hidden="1" customWidth="1"/>
    <col min="264" max="264" width="16.140625" hidden="1" customWidth="1"/>
    <col min="265" max="265" width="3.85546875" hidden="1" customWidth="1"/>
    <col min="266" max="266" width="9.85546875" hidden="1" customWidth="1"/>
    <col min="267" max="268" width="10.85546875" hidden="1" customWidth="1"/>
    <col min="269" max="269" width="5.85546875" hidden="1" customWidth="1"/>
    <col min="270" max="270" width="6.42578125" hidden="1" customWidth="1"/>
    <col min="271" max="271" width="8.28515625" hidden="1" customWidth="1"/>
    <col min="272" max="272" width="9.42578125" hidden="1" customWidth="1"/>
    <col min="273" max="273" width="8.28515625" hidden="1" customWidth="1"/>
    <col min="274" max="274" width="8.42578125" hidden="1" customWidth="1"/>
    <col min="275" max="275" width="15.85546875" hidden="1" customWidth="1"/>
    <col min="276" max="276" width="19.85546875" hidden="1" customWidth="1"/>
    <col min="277" max="277" width="1.140625" hidden="1" customWidth="1"/>
    <col min="278" max="278" width="16.140625" hidden="1" customWidth="1"/>
    <col min="279" max="279" width="3.85546875" hidden="1" customWidth="1"/>
    <col min="280" max="280" width="6.5703125" hidden="1" customWidth="1"/>
    <col min="281" max="281" width="7.7109375" hidden="1" customWidth="1"/>
    <col min="282" max="282" width="12.85546875" hidden="1" customWidth="1"/>
    <col min="283" max="283" width="20" hidden="1" customWidth="1"/>
    <col min="284" max="284" width="1.28515625" hidden="1" customWidth="1"/>
    <col min="285" max="285" width="16.140625" hidden="1" customWidth="1"/>
    <col min="286" max="286" width="2.42578125" hidden="1" customWidth="1"/>
    <col min="287" max="287" width="8.5703125" hidden="1" customWidth="1"/>
    <col min="288" max="288" width="10.42578125" hidden="1" customWidth="1"/>
    <col min="289" max="289" width="10.85546875" hidden="1" customWidth="1"/>
    <col min="290" max="290" width="3.7109375" hidden="1" customWidth="1"/>
    <col min="291" max="291" width="5.85546875" hidden="1" customWidth="1"/>
    <col min="292" max="292" width="6.5703125" hidden="1" customWidth="1"/>
    <col min="293" max="293" width="4.42578125" hidden="1" customWidth="1"/>
    <col min="294" max="294" width="7.85546875" hidden="1" customWidth="1"/>
    <col min="295" max="295" width="5.42578125" hidden="1" customWidth="1"/>
    <col min="296" max="296" width="4.7109375" hidden="1" customWidth="1"/>
    <col min="297" max="297" width="2.85546875" hidden="1" customWidth="1"/>
    <col min="298" max="298" width="7" hidden="1" customWidth="1"/>
    <col min="299" max="299" width="10.28515625" hidden="1" customWidth="1"/>
    <col min="300" max="300" width="11.28515625" hidden="1" customWidth="1"/>
    <col min="301" max="301" width="9.140625" hidden="1" customWidth="1"/>
    <col min="302" max="302" width="6" hidden="1" customWidth="1"/>
    <col min="303" max="303" width="8.85546875" hidden="1" customWidth="1"/>
    <col min="304" max="304" width="7.85546875" hidden="1" customWidth="1"/>
    <col min="305" max="305" width="7.5703125" hidden="1" customWidth="1"/>
    <col min="306" max="306" width="10.7109375" hidden="1" customWidth="1"/>
    <col min="307" max="307" width="10.85546875" hidden="1" customWidth="1"/>
    <col min="308" max="308" width="18.140625" hidden="1" customWidth="1"/>
    <col min="309" max="309" width="25.140625" hidden="1" customWidth="1"/>
    <col min="310" max="310" width="3.28515625" hidden="1" customWidth="1"/>
    <col min="311" max="311" width="16.140625" hidden="1" customWidth="1"/>
    <col min="312" max="312" width="4.85546875" hidden="1" customWidth="1"/>
    <col min="313" max="313" width="2.140625" hidden="1" customWidth="1"/>
    <col min="314" max="314" width="0.28515625" hidden="1" customWidth="1"/>
    <col min="315" max="315" width="7" style="115" hidden="1" customWidth="1"/>
    <col min="316" max="316" width="6.5703125" style="115" hidden="1" customWidth="1"/>
    <col min="317" max="317" width="12.42578125" style="115" hidden="1" customWidth="1"/>
    <col min="318" max="318" width="8.28515625" hidden="1" customWidth="1"/>
    <col min="319" max="319" width="18.85546875" hidden="1" customWidth="1"/>
    <col min="320" max="320" width="7.28515625" hidden="1" customWidth="1"/>
    <col min="321" max="321" width="6.7109375" hidden="1" customWidth="1"/>
    <col min="322" max="322" width="22.140625" hidden="1" customWidth="1"/>
    <col min="323" max="323" width="9" hidden="1" customWidth="1"/>
    <col min="324" max="324" width="16.140625" hidden="1" customWidth="1"/>
    <col min="325" max="325" width="8.85546875" hidden="1" customWidth="1"/>
    <col min="326" max="326" width="17.28515625" hidden="1" customWidth="1"/>
    <col min="327" max="327" width="14.42578125" hidden="1" customWidth="1"/>
    <col min="328" max="328" width="16.28515625" hidden="1" customWidth="1"/>
    <col min="329" max="329" width="19.85546875" hidden="1" customWidth="1"/>
    <col min="330" max="330" width="6.28515625" hidden="1" customWidth="1"/>
    <col min="331" max="331" width="13.5703125" hidden="1" customWidth="1"/>
    <col min="332" max="332" width="10.140625" hidden="1" customWidth="1"/>
    <col min="333" max="333" width="7" hidden="1" customWidth="1"/>
    <col min="334" max="334" width="13.42578125" hidden="1" customWidth="1"/>
    <col min="335" max="335" width="16.28515625" hidden="1" customWidth="1"/>
    <col min="336" max="336" width="8.5703125" hidden="1" customWidth="1"/>
    <col min="337" max="337" width="10.7109375" hidden="1" customWidth="1"/>
    <col min="338" max="338" width="13.42578125" hidden="1" customWidth="1"/>
    <col min="339" max="339" width="6" hidden="1" customWidth="1"/>
    <col min="340" max="340" width="13.7109375" hidden="1" customWidth="1"/>
    <col min="341" max="341" width="16.140625" hidden="1" customWidth="1"/>
    <col min="342" max="342" width="10.28515625" hidden="1" customWidth="1"/>
    <col min="343" max="343" width="9.28515625" hidden="1" customWidth="1"/>
    <col min="344" max="344" width="10.7109375" hidden="1" customWidth="1"/>
    <col min="345" max="345" width="8.85546875" hidden="1" customWidth="1"/>
    <col min="346" max="346" width="13.7109375" hidden="1" customWidth="1"/>
    <col min="347" max="347" width="16.5703125" hidden="1" customWidth="1"/>
    <col min="348" max="348" width="12.28515625" hidden="1" customWidth="1"/>
    <col min="349" max="349" width="9.5703125" hidden="1" customWidth="1"/>
    <col min="350" max="350" width="12.7109375" hidden="1" customWidth="1"/>
    <col min="351" max="351" width="8.85546875" hidden="1" customWidth="1"/>
    <col min="352" max="352" width="13.85546875" hidden="1" customWidth="1"/>
    <col min="353" max="353" width="16.5703125" hidden="1" customWidth="1"/>
    <col min="354" max="354" width="13.85546875" hidden="1" customWidth="1"/>
    <col min="355" max="355" width="10.28515625" hidden="1" customWidth="1"/>
    <col min="356" max="356" width="13.85546875" hidden="1" customWidth="1"/>
    <col min="357" max="357" width="9.7109375" hidden="1" customWidth="1"/>
    <col min="358" max="358" width="9.28515625" hidden="1" customWidth="1"/>
    <col min="359" max="359" width="14.42578125" hidden="1" customWidth="1"/>
    <col min="360" max="360" width="12.5703125" style="115" hidden="1" customWidth="1"/>
    <col min="361" max="361" width="9.28515625" hidden="1" customWidth="1"/>
    <col min="362" max="362" width="16.85546875" hidden="1" customWidth="1"/>
    <col min="363" max="363" width="2.5703125" hidden="1" customWidth="1"/>
    <col min="364" max="364" width="2.42578125" hidden="1" customWidth="1"/>
    <col min="365" max="365" width="2" hidden="1" customWidth="1"/>
    <col min="366" max="366" width="13.42578125" hidden="1" customWidth="1"/>
    <col min="367" max="367" width="12.5703125" style="115" hidden="1" customWidth="1"/>
    <col min="368" max="368" width="10.42578125" hidden="1" customWidth="1"/>
    <col min="369" max="369" width="14.5703125" hidden="1" customWidth="1"/>
    <col min="370" max="370" width="3.85546875" hidden="1" customWidth="1"/>
    <col min="371" max="371" width="2.140625" hidden="1" customWidth="1"/>
    <col min="372" max="373" width="1.85546875" hidden="1" customWidth="1"/>
    <col min="374" max="374" width="15.7109375" hidden="1" customWidth="1"/>
    <col min="375" max="375" width="14.42578125" style="115" hidden="1" customWidth="1"/>
    <col min="376" max="376" width="9.85546875" hidden="1" customWidth="1"/>
    <col min="377" max="377" width="15.7109375" hidden="1" customWidth="1"/>
    <col min="378" max="378" width="1.42578125" hidden="1" customWidth="1"/>
    <col min="379" max="379" width="1.28515625" hidden="1" customWidth="1"/>
    <col min="380" max="380" width="1.7109375" hidden="1" customWidth="1"/>
    <col min="381" max="381" width="5.140625" hidden="1" customWidth="1"/>
    <col min="382" max="382" width="5.5703125" style="115" hidden="1" customWidth="1"/>
    <col min="383" max="383" width="7.28515625" hidden="1" customWidth="1"/>
    <col min="384" max="384" width="15" hidden="1" customWidth="1"/>
    <col min="385" max="385" width="7" hidden="1" customWidth="1"/>
    <col min="386" max="386" width="3.5703125" hidden="1" customWidth="1"/>
    <col min="387" max="387" width="3.140625" hidden="1" customWidth="1"/>
    <col min="388" max="388" width="4" hidden="1" customWidth="1"/>
    <col min="389" max="389" width="3" style="115" hidden="1" customWidth="1"/>
    <col min="390" max="390" width="13.85546875" hidden="1" customWidth="1"/>
    <col min="391" max="391" width="17.42578125" hidden="1" customWidth="1"/>
    <col min="392" max="392" width="13.85546875" hidden="1" customWidth="1"/>
    <col min="393" max="393" width="14.5703125" hidden="1" customWidth="1"/>
    <col min="394" max="394" width="2.85546875" hidden="1" customWidth="1"/>
    <col min="395" max="395" width="4.42578125" hidden="1" customWidth="1"/>
    <col min="396" max="396" width="5.28515625" style="115" hidden="1" customWidth="1"/>
    <col min="397" max="397" width="5.85546875" style="116" hidden="1" customWidth="1"/>
    <col min="398" max="398" width="6" style="116" hidden="1" customWidth="1"/>
    <col min="399" max="399" width="19.140625" hidden="1" customWidth="1"/>
    <col min="400" max="400" width="11.42578125" hidden="1" customWidth="1"/>
    <col min="401" max="401" width="5.42578125" hidden="1" customWidth="1"/>
    <col min="402" max="402" width="8.5703125" hidden="1" customWidth="1"/>
    <col min="403" max="403" width="6.140625" hidden="1" customWidth="1"/>
    <col min="404" max="404" width="16.7109375" hidden="1" customWidth="1"/>
    <col min="405" max="405" width="11.42578125" hidden="1" customWidth="1"/>
    <col min="406" max="406" width="14.85546875" hidden="1" customWidth="1"/>
    <col min="407" max="407" width="6.85546875" hidden="1" customWidth="1"/>
    <col min="408" max="409" width="11.42578125" hidden="1" customWidth="1"/>
    <col min="410" max="410" width="16" hidden="1" customWidth="1"/>
    <col min="411" max="411" width="8.140625" hidden="1" customWidth="1"/>
    <col min="412" max="412" width="14.140625" style="117" hidden="1" customWidth="1"/>
    <col min="413" max="413" width="16" hidden="1" customWidth="1"/>
    <col min="414" max="415" width="11.42578125" hidden="1" customWidth="1"/>
    <col min="416" max="416" width="2" hidden="1" customWidth="1"/>
    <col min="417" max="417" width="12.28515625" hidden="1" customWidth="1"/>
    <col min="418" max="418" width="7" hidden="1" customWidth="1"/>
    <col min="419" max="419" width="3.28515625" style="115" hidden="1" customWidth="1"/>
    <col min="420" max="420" width="12.28515625" hidden="1" customWidth="1"/>
    <col min="421" max="421" width="17.85546875" hidden="1" customWidth="1"/>
    <col min="422" max="422" width="16.85546875" hidden="1" customWidth="1"/>
    <col min="423" max="423" width="10.5703125" hidden="1" customWidth="1"/>
    <col min="424" max="424" width="16.85546875" hidden="1" customWidth="1"/>
    <col min="425" max="425" width="10.5703125" hidden="1" customWidth="1"/>
    <col min="426" max="426" width="16.85546875" hidden="1" customWidth="1"/>
    <col min="427" max="427" width="10.5703125" hidden="1" customWidth="1"/>
    <col min="428" max="428" width="1" hidden="1" customWidth="1"/>
    <col min="429" max="429" width="15.140625" hidden="1" customWidth="1"/>
    <col min="430" max="430" width="10.28515625" hidden="1" customWidth="1"/>
    <col min="431" max="431" width="6.7109375" style="115" hidden="1" customWidth="1"/>
    <col min="432" max="432" width="14.5703125" hidden="1" customWidth="1"/>
    <col min="433" max="433" width="10.28515625" hidden="1" customWidth="1"/>
    <col min="434" max="434" width="14.7109375" hidden="1" customWidth="1"/>
    <col min="435" max="435" width="10.28515625" hidden="1" customWidth="1"/>
    <col min="436" max="436" width="16.85546875" hidden="1" customWidth="1"/>
    <col min="437" max="437" width="10.5703125" hidden="1" customWidth="1"/>
    <col min="438" max="438" width="16.85546875" hidden="1" customWidth="1"/>
    <col min="439" max="439" width="10.5703125" hidden="1" customWidth="1"/>
    <col min="440" max="440" width="16.85546875" hidden="1" customWidth="1"/>
    <col min="441" max="441" width="9.5703125" hidden="1" customWidth="1"/>
    <col min="442" max="442" width="13.7109375" hidden="1" customWidth="1"/>
    <col min="443" max="443" width="10.5703125" hidden="1" customWidth="1"/>
    <col min="444" max="444" width="13.42578125" style="115" hidden="1" customWidth="1"/>
    <col min="445" max="445" width="13.28515625" hidden="1" customWidth="1"/>
    <col min="446" max="446" width="10.5703125" hidden="1" customWidth="1"/>
    <col min="447" max="447" width="13.140625" hidden="1" customWidth="1"/>
    <col min="448" max="448" width="9.42578125" hidden="1" customWidth="1"/>
    <col min="449" max="449" width="16.85546875" hidden="1" customWidth="1"/>
    <col min="450" max="450" width="10.140625" hidden="1" customWidth="1"/>
    <col min="451" max="451" width="14.85546875" style="115" hidden="1" customWidth="1"/>
    <col min="452" max="452" width="7.85546875" hidden="1" customWidth="1"/>
    <col min="453" max="453" width="6.85546875" hidden="1" customWidth="1"/>
    <col min="454" max="454" width="7.85546875" hidden="1" customWidth="1"/>
    <col min="455" max="455" width="7.7109375" hidden="1" customWidth="1"/>
    <col min="456" max="458" width="6.5703125" hidden="1" customWidth="1"/>
    <col min="459" max="459" width="6.7109375" style="117" hidden="1" customWidth="1"/>
    <col min="460" max="460" width="7" style="117" hidden="1" customWidth="1"/>
    <col min="461" max="461" width="6.28515625" style="117" hidden="1" customWidth="1"/>
    <col min="462" max="462" width="5.5703125" hidden="1" customWidth="1"/>
    <col min="463" max="463" width="5.7109375" hidden="1" customWidth="1"/>
    <col min="464" max="464" width="5.85546875" hidden="1" customWidth="1"/>
    <col min="465" max="465" width="6.140625" hidden="1" customWidth="1"/>
    <col min="466" max="466" width="5.7109375" hidden="1" customWidth="1"/>
    <col min="467" max="468" width="5.85546875" hidden="1" customWidth="1"/>
    <col min="469" max="469" width="5.7109375" hidden="1" customWidth="1"/>
    <col min="470" max="470" width="5.28515625" hidden="1" customWidth="1"/>
    <col min="471" max="471" width="13" style="117" hidden="1" customWidth="1"/>
    <col min="472" max="472" width="8.42578125" style="117" hidden="1" customWidth="1"/>
    <col min="473" max="473" width="15.5703125" hidden="1" customWidth="1"/>
    <col min="474" max="474" width="6.7109375" hidden="1" customWidth="1"/>
    <col min="475" max="475" width="7.28515625" hidden="1" customWidth="1"/>
    <col min="476" max="476" width="17" hidden="1" customWidth="1"/>
    <col min="477" max="480" width="8.140625" hidden="1" customWidth="1"/>
    <col min="481" max="481" width="9.5703125" hidden="1" customWidth="1"/>
    <col min="482" max="482" width="9" hidden="1" customWidth="1"/>
    <col min="483" max="483" width="7.140625" hidden="1" customWidth="1"/>
    <col min="484" max="484" width="4.5703125" hidden="1" customWidth="1"/>
    <col min="485" max="485" width="10" style="118" hidden="1" customWidth="1"/>
    <col min="486" max="486" width="16.140625" hidden="1" customWidth="1"/>
    <col min="487" max="487" width="8" hidden="1" customWidth="1"/>
    <col min="488" max="488" width="11.85546875" hidden="1" customWidth="1"/>
    <col min="489" max="489" width="13.140625" hidden="1" customWidth="1"/>
    <col min="490" max="490" width="5.28515625" hidden="1" customWidth="1"/>
    <col min="491" max="491" width="4.28515625" hidden="1" customWidth="1"/>
    <col min="492" max="492" width="3.7109375" hidden="1" customWidth="1"/>
    <col min="493" max="493" width="5.7109375" hidden="1" customWidth="1"/>
    <col min="494" max="494" width="3" hidden="1" customWidth="1"/>
    <col min="495" max="495" width="6.5703125" hidden="1" customWidth="1"/>
    <col min="496" max="496" width="3" hidden="1" customWidth="1"/>
    <col min="497" max="497" width="12" hidden="1" customWidth="1"/>
    <col min="498" max="498" width="5.5703125" hidden="1" customWidth="1"/>
    <col min="499" max="499" width="12.85546875" hidden="1" customWidth="1"/>
    <col min="500" max="500" width="14.140625" hidden="1" customWidth="1"/>
    <col min="501" max="501" width="8.5703125" hidden="1" customWidth="1"/>
    <col min="502" max="502" width="12.85546875" hidden="1" customWidth="1"/>
    <col min="503" max="505" width="14.140625" hidden="1" customWidth="1"/>
    <col min="506" max="506" width="8.5703125" hidden="1" customWidth="1"/>
    <col min="507" max="507" width="8.140625" hidden="1" customWidth="1"/>
    <col min="508" max="508" width="7.140625" hidden="1" customWidth="1"/>
    <col min="509" max="509" width="7.85546875" hidden="1" customWidth="1"/>
    <col min="510" max="510" width="15.140625" hidden="1" customWidth="1"/>
    <col min="511" max="511" width="17" hidden="1" customWidth="1"/>
    <col min="512" max="512" width="6.85546875" hidden="1" customWidth="1"/>
    <col min="513" max="513" width="7.85546875" hidden="1" customWidth="1"/>
    <col min="514" max="514" width="13.140625" hidden="1" customWidth="1"/>
    <col min="515" max="515" width="11.42578125" hidden="1" customWidth="1"/>
    <col min="516" max="516" width="5.28515625" hidden="1" customWidth="1"/>
    <col min="517" max="517" width="4.28515625" hidden="1" customWidth="1"/>
    <col min="518" max="518" width="13.85546875" hidden="1" customWidth="1"/>
    <col min="519" max="520" width="4.28515625" hidden="1" customWidth="1"/>
    <col min="521" max="521" width="3.7109375" hidden="1" customWidth="1"/>
    <col min="522" max="522" width="4.85546875" hidden="1" customWidth="1"/>
    <col min="523" max="523" width="14.28515625" hidden="1" customWidth="1"/>
    <col min="524" max="524" width="14.5703125" hidden="1" customWidth="1"/>
    <col min="525" max="526" width="15.42578125" hidden="1" customWidth="1"/>
    <col min="527" max="527" width="11.5703125" hidden="1" customWidth="1"/>
    <col min="528" max="528" width="6.85546875" hidden="1" customWidth="1"/>
    <col min="529" max="529" width="9.5703125" hidden="1" customWidth="1"/>
    <col min="530" max="530" width="6.5703125" hidden="1" customWidth="1"/>
    <col min="531" max="531" width="9.85546875" hidden="1" customWidth="1"/>
    <col min="532" max="532" width="9.28515625" hidden="1" customWidth="1"/>
    <col min="533" max="533" width="10.7109375" hidden="1" customWidth="1"/>
    <col min="534" max="534" width="13.28515625" hidden="1" customWidth="1"/>
    <col min="535" max="535" width="11" hidden="1" customWidth="1"/>
    <col min="536" max="536" width="7.5703125" hidden="1" customWidth="1"/>
    <col min="537" max="537" width="5.5703125" hidden="1" customWidth="1"/>
    <col min="538" max="538" width="11" hidden="1" customWidth="1"/>
    <col min="539" max="539" width="1.140625" hidden="1" customWidth="1"/>
    <col min="540" max="540" width="12" hidden="1" customWidth="1"/>
    <col min="541" max="541" width="8.85546875" hidden="1" customWidth="1"/>
    <col min="542" max="542" width="11.7109375" hidden="1" customWidth="1"/>
    <col min="543" max="543" width="3.28515625" hidden="1" customWidth="1"/>
    <col min="544" max="544" width="4.7109375" hidden="1" customWidth="1"/>
    <col min="545" max="545" width="3.85546875" hidden="1" customWidth="1"/>
    <col min="546" max="546" width="4.5703125" hidden="1" customWidth="1"/>
    <col min="547" max="547" width="5.85546875" hidden="1" customWidth="1"/>
    <col min="548" max="548" width="9.5703125" hidden="1" customWidth="1"/>
    <col min="549" max="549" width="13.42578125" hidden="1" customWidth="1"/>
    <col min="550" max="550" width="10.5703125" hidden="1" customWidth="1"/>
    <col min="551" max="551" width="12.28515625" hidden="1" customWidth="1"/>
    <col min="552" max="552" width="13.85546875" hidden="1" customWidth="1"/>
    <col min="553" max="553" width="10.7109375" hidden="1" customWidth="1"/>
    <col min="554" max="554" width="11.140625" hidden="1" customWidth="1"/>
    <col min="555" max="555" width="14" hidden="1" customWidth="1"/>
    <col min="556" max="556" width="11.85546875" hidden="1" customWidth="1"/>
    <col min="557" max="557" width="12.140625" hidden="1" customWidth="1"/>
    <col min="558" max="558" width="9.140625" hidden="1" customWidth="1"/>
    <col min="559" max="559" width="2.28515625" hidden="1" customWidth="1"/>
    <col min="560" max="561" width="8.28515625" hidden="1" customWidth="1"/>
    <col min="562" max="562" width="6.85546875" hidden="1" customWidth="1"/>
    <col min="563" max="563" width="6.140625" hidden="1" customWidth="1"/>
    <col min="564" max="564" width="17.42578125" hidden="1" customWidth="1"/>
    <col min="565" max="566" width="16.140625" hidden="1" customWidth="1"/>
    <col min="567" max="567" width="19" hidden="1" customWidth="1"/>
    <col min="568" max="568" width="17.42578125" hidden="1" customWidth="1"/>
    <col min="569" max="569" width="11.7109375" hidden="1" customWidth="1"/>
    <col min="570" max="570" width="10.42578125" hidden="1" customWidth="1"/>
    <col min="571" max="571" width="6.140625" hidden="1" customWidth="1"/>
    <col min="572" max="572" width="7.7109375" hidden="1" customWidth="1"/>
    <col min="573" max="573" width="11.42578125" hidden="1" customWidth="1"/>
    <col min="574" max="574" width="10.42578125" hidden="1" customWidth="1"/>
    <col min="575" max="575" width="8.140625" hidden="1" customWidth="1"/>
    <col min="576" max="576" width="8.7109375" hidden="1" customWidth="1"/>
    <col min="577" max="577" width="7.5703125" hidden="1" customWidth="1"/>
    <col min="578" max="578" width="9.85546875" hidden="1" customWidth="1"/>
    <col min="579" max="579" width="9.42578125" hidden="1" customWidth="1"/>
    <col min="580" max="580" width="7.42578125" hidden="1" customWidth="1"/>
    <col min="581" max="581" width="6.7109375" hidden="1" customWidth="1"/>
    <col min="582" max="584" width="8.5703125" hidden="1" customWidth="1"/>
    <col min="585" max="585" width="8.42578125" hidden="1" customWidth="1"/>
    <col min="586" max="586" width="8.7109375" hidden="1" customWidth="1"/>
    <col min="587" max="587" width="7.5703125" hidden="1" customWidth="1"/>
    <col min="588" max="589" width="8.7109375" style="117" hidden="1" customWidth="1"/>
    <col min="590" max="590" width="6.5703125" hidden="1" customWidth="1"/>
    <col min="591" max="591" width="7.140625" hidden="1" customWidth="1"/>
    <col min="592" max="592" width="7.42578125" hidden="1" customWidth="1"/>
    <col min="593" max="593" width="5.42578125" hidden="1" customWidth="1"/>
    <col min="594" max="594" width="4.140625" hidden="1" customWidth="1"/>
    <col min="595" max="595" width="9.85546875" hidden="1" customWidth="1"/>
    <col min="596" max="596" width="16.28515625" hidden="1" customWidth="1"/>
    <col min="597" max="597" width="5.140625" hidden="1" customWidth="1"/>
    <col min="598" max="598" width="3.28515625" hidden="1" customWidth="1"/>
    <col min="599" max="599" width="9.5703125" hidden="1" customWidth="1"/>
    <col min="600" max="600" width="11.85546875" hidden="1" customWidth="1"/>
    <col min="601" max="601" width="16.5703125" hidden="1" customWidth="1"/>
    <col min="602" max="602" width="5.7109375" hidden="1" customWidth="1"/>
    <col min="603" max="603" width="6.85546875" hidden="1" customWidth="1"/>
    <col min="604" max="604" width="5.7109375" hidden="1" customWidth="1"/>
    <col min="605" max="608" width="16.85546875" hidden="1" customWidth="1"/>
    <col min="609" max="609" width="13.7109375" style="117" hidden="1" customWidth="1"/>
    <col min="610" max="610" width="12.7109375" style="117" hidden="1" customWidth="1"/>
    <col min="611" max="611" width="13.85546875" hidden="1" customWidth="1"/>
    <col min="612" max="612" width="10.5703125" hidden="1" customWidth="1"/>
    <col min="613" max="613" width="10.7109375" hidden="1" customWidth="1"/>
    <col min="614" max="614" width="10.7109375" style="117" hidden="1" customWidth="1"/>
    <col min="615" max="617" width="10.7109375" hidden="1" customWidth="1"/>
    <col min="618" max="620" width="16.85546875" hidden="1" customWidth="1"/>
    <col min="621" max="621" width="6.28515625" hidden="1" customWidth="1"/>
    <col min="622" max="622" width="4.85546875" hidden="1" customWidth="1"/>
    <col min="623" max="623" width="3" hidden="1" customWidth="1"/>
    <col min="624" max="624" width="7.28515625" hidden="1" customWidth="1"/>
    <col min="625" max="625" width="7.42578125" hidden="1" customWidth="1"/>
    <col min="626" max="626" width="7.85546875" hidden="1" customWidth="1"/>
    <col min="627" max="627" width="6.28515625" hidden="1" customWidth="1"/>
    <col min="628" max="628" width="5.5703125" hidden="1" customWidth="1"/>
    <col min="629" max="629" width="6.5703125" hidden="1" customWidth="1"/>
    <col min="630" max="630" width="8.140625" hidden="1" customWidth="1"/>
    <col min="631" max="631" width="7.28515625" hidden="1" customWidth="1"/>
    <col min="632" max="632" width="9.140625" hidden="1" customWidth="1"/>
    <col min="633" max="633" width="8.28515625" hidden="1" customWidth="1"/>
    <col min="634" max="636" width="9.140625" hidden="1" customWidth="1"/>
    <col min="637" max="637" width="7.85546875" hidden="1" customWidth="1"/>
    <col min="638" max="642" width="9.140625" hidden="1" customWidth="1"/>
    <col min="643" max="644" width="13" hidden="1" customWidth="1"/>
    <col min="645" max="645" width="19.28515625" hidden="1" customWidth="1"/>
    <col min="646" max="646" width="13.85546875" hidden="1" customWidth="1"/>
    <col min="647" max="647" width="15.28515625" hidden="1" customWidth="1"/>
    <col min="648" max="649" width="13.85546875" hidden="1" customWidth="1"/>
    <col min="650" max="650" width="12.5703125" hidden="1" customWidth="1"/>
    <col min="651" max="651" width="13.140625" hidden="1" customWidth="1"/>
    <col min="652" max="652" width="12.5703125" hidden="1" customWidth="1"/>
    <col min="653" max="653" width="12.28515625" hidden="1" customWidth="1"/>
    <col min="654" max="654" width="9.7109375" hidden="1" customWidth="1"/>
    <col min="655" max="657" width="12.28515625" hidden="1" customWidth="1"/>
    <col min="658" max="658" width="4.7109375" hidden="1" customWidth="1"/>
    <col min="659" max="659" width="16.85546875" hidden="1" customWidth="1"/>
    <col min="660" max="660" width="5" hidden="1" customWidth="1"/>
    <col min="661" max="661" width="11.140625" hidden="1" customWidth="1"/>
    <col min="662" max="662" width="17.28515625" hidden="1" customWidth="1"/>
    <col min="663" max="663" width="13.28515625" hidden="1" customWidth="1"/>
    <col min="664" max="664" width="11.5703125" hidden="1" customWidth="1"/>
    <col min="665" max="665" width="13" hidden="1" customWidth="1"/>
    <col min="666" max="666" width="12.85546875" hidden="1" customWidth="1"/>
    <col min="667" max="667" width="11.140625" hidden="1" customWidth="1"/>
    <col min="668" max="668" width="13.28515625" hidden="1" customWidth="1"/>
    <col min="669" max="674" width="9.140625" hidden="1" customWidth="1"/>
    <col min="675" max="675" width="16" hidden="1" customWidth="1"/>
    <col min="676" max="676" width="17.42578125" hidden="1" customWidth="1"/>
    <col min="677" max="677" width="17" hidden="1" customWidth="1"/>
    <col min="678" max="678" width="10.7109375" hidden="1" customWidth="1"/>
    <col min="679" max="679" width="12.85546875" hidden="1" customWidth="1"/>
    <col min="680" max="680" width="11.85546875" hidden="1" customWidth="1"/>
    <col min="681" max="681" width="12" hidden="1" customWidth="1"/>
    <col min="682" max="682" width="11.85546875" hidden="1" customWidth="1"/>
    <col min="683" max="683" width="11.7109375" hidden="1" customWidth="1"/>
    <col min="684" max="684" width="14.140625" hidden="1" customWidth="1"/>
    <col min="685" max="686" width="10.5703125" hidden="1" customWidth="1"/>
    <col min="687" max="687" width="10.140625" hidden="1" customWidth="1"/>
    <col min="688" max="688" width="0.28515625" hidden="1" customWidth="1"/>
    <col min="689" max="689" width="10.42578125" hidden="1" customWidth="1"/>
    <col min="690" max="690" width="11.5703125" hidden="1" customWidth="1"/>
    <col min="691" max="691" width="10.28515625" hidden="1" customWidth="1"/>
    <col min="692" max="692" width="11.5703125" hidden="1" customWidth="1"/>
    <col min="693" max="693" width="8.7109375" hidden="1" customWidth="1"/>
    <col min="694" max="694" width="7.5703125" hidden="1" customWidth="1"/>
    <col min="695" max="696" width="8.7109375" style="117" hidden="1" customWidth="1"/>
    <col min="697" max="697" width="6.5703125" hidden="1" customWidth="1"/>
    <col min="698" max="698" width="7.140625" hidden="1" customWidth="1"/>
    <col min="699" max="699" width="7.42578125" hidden="1" customWidth="1"/>
    <col min="700" max="700" width="5.42578125" hidden="1" customWidth="1"/>
    <col min="701" max="701" width="4.140625" hidden="1" customWidth="1"/>
    <col min="702" max="702" width="12.7109375" hidden="1" customWidth="1"/>
    <col min="703" max="703" width="18.85546875" hidden="1" customWidth="1"/>
    <col min="704" max="704" width="5.140625" hidden="1" customWidth="1"/>
    <col min="705" max="705" width="3.28515625" hidden="1" customWidth="1"/>
    <col min="706" max="706" width="9.5703125" hidden="1" customWidth="1"/>
    <col min="707" max="707" width="10.28515625" hidden="1" customWidth="1"/>
    <col min="708" max="708" width="10.5703125" hidden="1" customWidth="1"/>
    <col min="709" max="709" width="9.42578125" hidden="1" customWidth="1"/>
    <col min="710" max="710" width="17.7109375" hidden="1" customWidth="1"/>
    <col min="711" max="711" width="13.42578125" hidden="1" customWidth="1"/>
    <col min="712" max="712" width="11.140625" hidden="1" customWidth="1"/>
    <col min="713" max="713" width="7.28515625" hidden="1" customWidth="1"/>
    <col min="714" max="714" width="8.28515625" hidden="1" customWidth="1"/>
    <col min="715" max="715" width="7.85546875" hidden="1" customWidth="1"/>
    <col min="716" max="716" width="10.28515625" style="119" hidden="1" customWidth="1"/>
    <col min="717" max="717" width="17" customWidth="1"/>
    <col min="718" max="718" width="13.140625" hidden="1" customWidth="1"/>
    <col min="719" max="719" width="15.7109375" customWidth="1"/>
    <col min="720" max="720" width="12.85546875" hidden="1" customWidth="1"/>
    <col min="721" max="721" width="16.5703125" customWidth="1"/>
    <col min="722" max="722" width="8.28515625" hidden="1" customWidth="1"/>
    <col min="723" max="723" width="12.85546875" hidden="1" customWidth="1"/>
    <col min="724" max="724" width="15.140625" customWidth="1"/>
    <col min="725" max="725" width="10.5703125" hidden="1" customWidth="1"/>
    <col min="726" max="726" width="15.5703125" customWidth="1"/>
    <col min="727" max="727" width="12.42578125" customWidth="1"/>
    <col min="728" max="728" width="19.28515625" hidden="1" customWidth="1"/>
    <col min="729" max="729" width="11.85546875" hidden="1" customWidth="1"/>
    <col min="730" max="730" width="6.5703125" hidden="1" customWidth="1"/>
    <col min="731" max="731" width="13.7109375" hidden="1" customWidth="1"/>
    <col min="732" max="732" width="16.28515625" customWidth="1"/>
    <col min="733" max="733" width="10.5703125" hidden="1" customWidth="1"/>
    <col min="734" max="734" width="14.7109375" hidden="1" customWidth="1"/>
    <col min="735" max="735" width="14.140625" customWidth="1"/>
    <col min="736" max="736" width="10.5703125" hidden="1" customWidth="1"/>
    <col min="737" max="737" width="4.7109375" hidden="1" customWidth="1"/>
    <col min="738" max="738" width="7.140625" hidden="1" customWidth="1"/>
    <col min="739" max="739" width="15.5703125" hidden="1" customWidth="1"/>
    <col min="740" max="740" width="13.140625" customWidth="1"/>
    <col min="741" max="741" width="9.42578125" hidden="1" customWidth="1"/>
    <col min="742" max="742" width="7.5703125" hidden="1" customWidth="1"/>
    <col min="743" max="743" width="14.42578125" hidden="1" customWidth="1"/>
    <col min="744" max="744" width="16.7109375" customWidth="1"/>
    <col min="745" max="745" width="8" hidden="1" customWidth="1"/>
    <col min="746" max="746" width="3.5703125" hidden="1" customWidth="1"/>
    <col min="747" max="747" width="5.5703125" hidden="1" customWidth="1"/>
    <col min="748" max="748" width="9.140625" hidden="1" customWidth="1"/>
    <col min="749" max="749" width="15.42578125" customWidth="1"/>
    <col min="750" max="750" width="9.5703125" hidden="1" customWidth="1"/>
    <col min="751" max="751" width="8.7109375" hidden="1" customWidth="1"/>
    <col min="752" max="752" width="7.5703125" hidden="1" customWidth="1"/>
    <col min="753" max="754" width="8.7109375" style="117" hidden="1" customWidth="1"/>
    <col min="755" max="755" width="6.5703125" hidden="1" customWidth="1"/>
    <col min="756" max="756" width="7.140625" hidden="1" customWidth="1"/>
    <col min="757" max="757" width="7.42578125" hidden="1" customWidth="1"/>
    <col min="758" max="758" width="5.42578125" hidden="1" customWidth="1"/>
    <col min="759" max="759" width="3.140625" hidden="1" customWidth="1"/>
    <col min="760" max="760" width="13.140625" hidden="1" customWidth="1"/>
    <col min="761" max="761" width="13.85546875" customWidth="1"/>
    <col min="762" max="762" width="8" hidden="1" customWidth="1"/>
    <col min="763" max="763" width="15.5703125" hidden="1" customWidth="1"/>
    <col min="764" max="764" width="0.140625" hidden="1" customWidth="1"/>
    <col min="765" max="765" width="9.42578125" hidden="1" customWidth="1"/>
    <col min="766" max="766" width="11" hidden="1" customWidth="1"/>
    <col min="767" max="767" width="11.5703125" hidden="1" customWidth="1"/>
    <col min="768" max="768" width="7.5703125" hidden="1" customWidth="1"/>
    <col min="769" max="769" width="17.42578125" customWidth="1"/>
    <col min="770" max="770" width="15.140625" customWidth="1"/>
    <col min="771" max="771" width="10.85546875" customWidth="1"/>
    <col min="772" max="772" width="15.85546875" hidden="1" customWidth="1"/>
    <col min="773" max="773" width="11.28515625" hidden="1" customWidth="1"/>
    <col min="774" max="774" width="9.7109375" hidden="1" customWidth="1"/>
    <col min="775" max="775" width="11" hidden="1" customWidth="1"/>
    <col min="776" max="776" width="9.140625" hidden="1" customWidth="1"/>
    <col min="777" max="777" width="1.85546875" customWidth="1"/>
    <col min="778" max="778" width="54" style="120" customWidth="1"/>
    <col min="779" max="779" width="0.140625" hidden="1" customWidth="1"/>
    <col min="780" max="780" width="2.42578125" hidden="1" customWidth="1"/>
    <col min="782" max="782" width="16.42578125" hidden="1" customWidth="1"/>
    <col min="783" max="783" width="15.140625" hidden="1" customWidth="1"/>
    <col min="784" max="784" width="19.140625" hidden="1" customWidth="1"/>
    <col min="785" max="785" width="15" hidden="1" customWidth="1"/>
    <col min="786" max="786" width="20.7109375" hidden="1" customWidth="1"/>
    <col min="787" max="788" width="11.5703125" hidden="1" customWidth="1"/>
    <col min="789" max="789" width="19.85546875" hidden="1" customWidth="1"/>
    <col min="790" max="790" width="15.42578125" hidden="1" customWidth="1"/>
    <col min="791" max="792" width="14" hidden="1" customWidth="1"/>
    <col min="793" max="793" width="14.42578125" hidden="1" customWidth="1"/>
    <col min="794" max="794" width="14.7109375" hidden="1" customWidth="1"/>
    <col min="795" max="795" width="11.7109375" hidden="1" customWidth="1"/>
    <col min="796" max="796" width="12.85546875" hidden="1" customWidth="1"/>
    <col min="797" max="797" width="11.7109375" hidden="1" customWidth="1"/>
    <col min="798" max="798" width="16.42578125" hidden="1" customWidth="1"/>
    <col min="799" max="801" width="9.140625" hidden="1" customWidth="1"/>
    <col min="802" max="802" width="20" hidden="1" customWidth="1"/>
    <col min="803" max="803" width="15.140625" hidden="1" customWidth="1"/>
    <col min="804" max="804" width="15.28515625" hidden="1" customWidth="1"/>
    <col min="805" max="805" width="16.85546875" hidden="1" customWidth="1"/>
    <col min="806" max="806" width="14" hidden="1" customWidth="1"/>
    <col min="807" max="807" width="17.42578125" hidden="1" customWidth="1"/>
    <col min="808" max="808" width="15.28515625" hidden="1" customWidth="1"/>
    <col min="809" max="810" width="9.140625" hidden="1" customWidth="1"/>
    <col min="811" max="812" width="9.140625" customWidth="1"/>
    <col min="813" max="813" width="9.140625" hidden="1" customWidth="1"/>
    <col min="814" max="814" width="13.140625" hidden="1" customWidth="1"/>
    <col min="815" max="815" width="18.28515625" hidden="1" customWidth="1"/>
    <col min="816" max="816" width="17" hidden="1" customWidth="1"/>
    <col min="817" max="817" width="14.5703125" hidden="1" customWidth="1"/>
    <col min="818" max="818" width="13.28515625" hidden="1" customWidth="1"/>
    <col min="819" max="819" width="17.5703125" hidden="1" customWidth="1"/>
    <col min="820" max="820" width="16.28515625" hidden="1" customWidth="1"/>
    <col min="821" max="821" width="16.140625" hidden="1" customWidth="1"/>
    <col min="822" max="822" width="13.7109375" hidden="1" customWidth="1"/>
    <col min="823" max="823" width="14.7109375" hidden="1" customWidth="1"/>
    <col min="824" max="824" width="15.5703125" hidden="1" customWidth="1"/>
    <col min="825" max="825" width="9.140625" hidden="1" customWidth="1"/>
    <col min="826" max="826" width="15.5703125" hidden="1" customWidth="1"/>
    <col min="827" max="827" width="8.85546875" hidden="1" customWidth="1"/>
    <col min="828" max="828" width="9.140625" hidden="1" customWidth="1"/>
    <col min="829" max="829" width="8.5703125" hidden="1" customWidth="1"/>
    <col min="830" max="837" width="9.140625" hidden="1" customWidth="1"/>
    <col min="838" max="838" width="8.42578125" hidden="1" customWidth="1"/>
    <col min="839" max="842" width="9.140625" hidden="1" customWidth="1"/>
    <col min="843" max="843" width="8.5703125" hidden="1" customWidth="1"/>
    <col min="844" max="847" width="9.140625" hidden="1" customWidth="1"/>
    <col min="848" max="848" width="7.7109375" hidden="1" customWidth="1"/>
    <col min="849" max="853" width="9.140625" hidden="1" customWidth="1"/>
    <col min="854" max="858" width="0" hidden="1" customWidth="1"/>
  </cols>
  <sheetData>
    <row r="1" spans="1:856" s="1" customFormat="1" ht="15.75">
      <c r="C1" s="2"/>
      <c r="AE1" s="3"/>
      <c r="BD1" s="3"/>
      <c r="IG1" s="3"/>
      <c r="LC1" s="3"/>
      <c r="LD1" s="3"/>
      <c r="LE1" s="3"/>
      <c r="MV1" s="3"/>
      <c r="NC1" s="3"/>
      <c r="NK1" s="3"/>
      <c r="NR1" s="3"/>
      <c r="NY1" s="3"/>
      <c r="OF1" s="3"/>
      <c r="OG1" s="4"/>
      <c r="OH1" s="4"/>
      <c r="OV1" s="5"/>
      <c r="PC1" s="3"/>
      <c r="PO1" s="3"/>
      <c r="QB1" s="3"/>
      <c r="QI1" s="3"/>
      <c r="QQ1" s="5"/>
      <c r="QR1" s="5"/>
      <c r="QS1" s="5"/>
      <c r="RC1" s="5"/>
      <c r="RD1" s="5"/>
      <c r="RQ1" s="6"/>
      <c r="VP1" s="5"/>
      <c r="VQ1" s="5"/>
      <c r="WK1" s="5"/>
      <c r="WL1" s="5"/>
      <c r="WP1" s="5"/>
      <c r="ZS1" s="5"/>
      <c r="ZT1" s="5"/>
      <c r="AAN1" s="7"/>
      <c r="ABY1" s="5"/>
      <c r="ABZ1" s="5"/>
      <c r="ACX1" s="8"/>
    </row>
    <row r="2" spans="1:856" s="1" customFormat="1" ht="15.75">
      <c r="C2" s="9"/>
      <c r="AE2" s="3"/>
      <c r="BD2" s="3"/>
      <c r="IG2" s="3"/>
      <c r="LC2" s="3"/>
      <c r="LD2" s="3"/>
      <c r="LE2" s="3"/>
      <c r="MV2" s="3"/>
      <c r="NC2" s="3"/>
      <c r="NK2" s="3"/>
      <c r="NR2" s="3"/>
      <c r="NY2" s="3"/>
      <c r="OF2" s="3"/>
      <c r="OG2" s="4"/>
      <c r="OH2" s="4"/>
      <c r="OV2" s="5"/>
      <c r="PC2" s="3"/>
      <c r="PO2" s="3"/>
      <c r="QB2" s="3"/>
      <c r="QI2" s="3"/>
      <c r="QQ2" s="5"/>
      <c r="QR2" s="5"/>
      <c r="QS2" s="5"/>
      <c r="RC2" s="5"/>
      <c r="RD2" s="5"/>
      <c r="RQ2" s="6"/>
      <c r="VP2" s="5"/>
      <c r="VQ2" s="5"/>
      <c r="WK2" s="5"/>
      <c r="WL2" s="5"/>
      <c r="WP2" s="5"/>
      <c r="ZS2" s="5"/>
      <c r="ZT2" s="5"/>
      <c r="AAN2" s="7"/>
      <c r="ABY2" s="5"/>
      <c r="ABZ2" s="5"/>
      <c r="ACX2" s="8"/>
    </row>
    <row r="3" spans="1:856" s="10" customFormat="1" ht="15.75">
      <c r="C3" s="11"/>
      <c r="AE3" s="12"/>
      <c r="BD3" s="12"/>
      <c r="HP3" s="10">
        <v>12</v>
      </c>
      <c r="IG3" s="12"/>
      <c r="LC3" s="12"/>
      <c r="LD3" s="12"/>
      <c r="LE3" s="12"/>
      <c r="LL3" s="10">
        <v>13</v>
      </c>
      <c r="MV3" s="12"/>
      <c r="NC3" s="12"/>
      <c r="NK3" s="12"/>
      <c r="NR3" s="12"/>
      <c r="NY3" s="12"/>
      <c r="OF3" s="12"/>
      <c r="OG3" s="13"/>
      <c r="OH3" s="13"/>
      <c r="ON3" s="10">
        <v>9</v>
      </c>
      <c r="OV3" s="14">
        <v>9</v>
      </c>
      <c r="OW3" s="10">
        <v>9</v>
      </c>
      <c r="PC3" s="12"/>
      <c r="PE3" s="10">
        <v>10</v>
      </c>
      <c r="PO3" s="12"/>
      <c r="QB3" s="12"/>
      <c r="QI3" s="12"/>
      <c r="QQ3" s="14"/>
      <c r="QR3" s="14"/>
      <c r="QS3" s="14"/>
      <c r="RC3" s="14"/>
      <c r="RD3" s="14"/>
      <c r="RQ3" s="6">
        <v>0</v>
      </c>
      <c r="RS3" s="15"/>
      <c r="UU3" s="10">
        <v>1</v>
      </c>
      <c r="VP3" s="14"/>
      <c r="VQ3" s="14"/>
      <c r="VX3" s="10">
        <v>7</v>
      </c>
      <c r="WA3" s="10">
        <v>5</v>
      </c>
      <c r="WB3" s="10">
        <v>8</v>
      </c>
      <c r="WC3" s="10">
        <v>6</v>
      </c>
      <c r="WK3" s="14"/>
      <c r="WL3" s="14"/>
      <c r="WP3" s="14"/>
      <c r="YY3" s="16" t="s">
        <v>0</v>
      </c>
      <c r="ZS3" s="14"/>
      <c r="ZT3" s="14"/>
      <c r="AAD3" s="10">
        <v>5</v>
      </c>
      <c r="AAE3" s="10">
        <v>8</v>
      </c>
      <c r="AAN3" s="17"/>
      <c r="AAO3" s="164" t="s">
        <v>1</v>
      </c>
      <c r="AAP3" s="164"/>
      <c r="AAQ3" s="164"/>
      <c r="AAR3" s="164"/>
      <c r="AAS3" s="164"/>
      <c r="AAT3" s="164"/>
      <c r="AAU3" s="164"/>
      <c r="AAV3" s="164"/>
      <c r="AAW3" s="164"/>
      <c r="AAX3" s="164"/>
      <c r="AAY3" s="164"/>
      <c r="AAZ3" s="164"/>
      <c r="ABA3" s="164"/>
      <c r="ABB3" s="164"/>
      <c r="ABC3" s="164"/>
      <c r="ABD3" s="164"/>
      <c r="ABE3" s="164"/>
      <c r="ABF3" s="164"/>
      <c r="ABG3" s="164"/>
      <c r="ABH3" s="164"/>
      <c r="ABI3" s="164"/>
      <c r="ABJ3" s="164"/>
      <c r="ABK3" s="164"/>
      <c r="ABL3" s="164"/>
      <c r="ABM3" s="164"/>
      <c r="ABN3" s="164"/>
      <c r="ABO3" s="164"/>
      <c r="ABP3" s="164"/>
      <c r="ABQ3" s="164"/>
      <c r="ABR3" s="164"/>
      <c r="ABS3" s="164"/>
      <c r="ABT3" s="164"/>
      <c r="ABU3" s="164"/>
      <c r="ABV3" s="164"/>
      <c r="ABW3" s="164"/>
      <c r="ABX3" s="164"/>
      <c r="ABY3" s="164"/>
      <c r="ABZ3" s="164"/>
      <c r="ACA3" s="164"/>
      <c r="ACB3" s="164"/>
      <c r="ACC3" s="164"/>
      <c r="ACD3" s="164"/>
      <c r="ACE3" s="164"/>
      <c r="ACF3" s="164"/>
      <c r="ACG3" s="164"/>
      <c r="ACH3" s="164"/>
      <c r="ACI3" s="164"/>
      <c r="ACX3" s="18"/>
      <c r="ADB3" s="164" t="s">
        <v>2</v>
      </c>
      <c r="ADC3" s="164"/>
      <c r="ADD3" s="164"/>
      <c r="ADE3" s="164"/>
      <c r="ADF3" s="164"/>
      <c r="ADG3" s="164"/>
      <c r="ADH3" s="164"/>
      <c r="ADI3" s="164"/>
      <c r="ADJ3" s="164"/>
      <c r="ADK3" s="164"/>
      <c r="ADL3" s="164"/>
      <c r="ADM3" s="164"/>
      <c r="ADN3" s="164"/>
      <c r="ADO3" s="164"/>
      <c r="ADP3" s="164"/>
      <c r="ADQ3" s="164"/>
      <c r="ADR3" s="164"/>
      <c r="AEG3" s="10" t="s">
        <v>3</v>
      </c>
    </row>
    <row r="4" spans="1:856" s="10" customFormat="1" ht="15.75">
      <c r="C4" s="11"/>
      <c r="AE4" s="12"/>
      <c r="BD4" s="12"/>
      <c r="IG4" s="12"/>
      <c r="LC4" s="12"/>
      <c r="LD4" s="12"/>
      <c r="LE4" s="12"/>
      <c r="MV4" s="12"/>
      <c r="NC4" s="12"/>
      <c r="NK4" s="12"/>
      <c r="NR4" s="12"/>
      <c r="NY4" s="12"/>
      <c r="OF4" s="12"/>
      <c r="OG4" s="13"/>
      <c r="OH4" s="13"/>
      <c r="OV4" s="14"/>
      <c r="PC4" s="12"/>
      <c r="PO4" s="12"/>
      <c r="QB4" s="12"/>
      <c r="QI4" s="12"/>
      <c r="QQ4" s="14"/>
      <c r="QR4" s="14"/>
      <c r="QS4" s="14"/>
      <c r="RC4" s="14"/>
      <c r="RD4" s="14"/>
      <c r="RQ4" s="6"/>
      <c r="RS4" s="15"/>
      <c r="VP4" s="14"/>
      <c r="VQ4" s="14"/>
      <c r="WK4" s="14"/>
      <c r="WL4" s="14"/>
      <c r="WP4" s="14"/>
      <c r="YY4" s="16"/>
      <c r="ZS4" s="14"/>
      <c r="ZT4" s="14"/>
      <c r="AAN4" s="17"/>
      <c r="AAO4" s="19"/>
      <c r="AAQ4" s="19"/>
      <c r="AAS4" s="19"/>
      <c r="AAT4" s="19"/>
      <c r="AAV4" s="19"/>
      <c r="AAW4" s="19"/>
      <c r="AAX4" s="19"/>
      <c r="AAY4" s="19"/>
      <c r="AAZ4" s="19"/>
      <c r="ABA4" s="19"/>
      <c r="ABB4" s="19"/>
      <c r="ABD4" s="19"/>
      <c r="ABE4" s="19"/>
      <c r="ABG4" s="19"/>
      <c r="ABH4" s="19"/>
      <c r="ABI4" s="19"/>
      <c r="ABJ4" s="19"/>
      <c r="ABL4" s="19"/>
      <c r="ABM4" s="19"/>
      <c r="ABN4" s="19"/>
      <c r="ABP4" s="19"/>
      <c r="ABQ4" s="19"/>
      <c r="ABR4" s="19"/>
      <c r="ABS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G4" s="19"/>
      <c r="ACH4" s="19"/>
      <c r="ACI4" s="19"/>
      <c r="ACX4" s="18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</row>
    <row r="5" spans="1:856" s="1" customFormat="1" ht="15.75" customHeight="1">
      <c r="A5" s="138" t="s">
        <v>4</v>
      </c>
      <c r="B5" s="20"/>
      <c r="C5" s="145" t="s">
        <v>5</v>
      </c>
      <c r="AE5" s="3"/>
      <c r="BD5" s="3"/>
      <c r="IG5" s="3"/>
      <c r="LA5" s="7"/>
      <c r="LC5" s="3"/>
      <c r="LD5" s="3"/>
      <c r="LE5" s="3"/>
      <c r="LG5" s="7"/>
      <c r="LH5" s="7"/>
      <c r="LJ5" s="7"/>
      <c r="LL5" s="7"/>
      <c r="LN5" s="7"/>
      <c r="LO5" s="7"/>
      <c r="LP5" s="7"/>
      <c r="LQ5" s="7"/>
      <c r="MT5" s="7"/>
      <c r="MU5" s="7"/>
      <c r="MV5" s="3"/>
      <c r="MW5" s="7"/>
      <c r="MX5" s="7"/>
      <c r="MY5" s="7"/>
      <c r="MZ5" s="7"/>
      <c r="NA5" s="7"/>
      <c r="NB5" s="7"/>
      <c r="NC5" s="3"/>
      <c r="ND5" s="7"/>
      <c r="NE5" s="7"/>
      <c r="NF5" s="7"/>
      <c r="NG5" s="7"/>
      <c r="NI5" s="7"/>
      <c r="NJ5" s="7"/>
      <c r="NK5" s="3"/>
      <c r="NL5" s="7"/>
      <c r="NM5" s="7"/>
      <c r="NN5" s="7"/>
      <c r="NO5" s="7"/>
      <c r="NP5" s="7"/>
      <c r="NQ5" s="7"/>
      <c r="NR5" s="3"/>
      <c r="NS5" s="7"/>
      <c r="NT5" s="7"/>
      <c r="NU5" s="7"/>
      <c r="NV5" s="7"/>
      <c r="NW5" s="7"/>
      <c r="NX5" s="7"/>
      <c r="NY5" s="3"/>
      <c r="NZ5" s="7"/>
      <c r="OA5" s="7"/>
      <c r="OB5" s="7"/>
      <c r="OC5" s="7"/>
      <c r="OF5" s="3"/>
      <c r="OG5" s="4"/>
      <c r="OH5" s="4"/>
      <c r="OV5" s="5"/>
      <c r="PB5" s="7"/>
      <c r="PC5" s="3"/>
      <c r="PE5" s="7"/>
      <c r="PO5" s="3"/>
      <c r="QB5" s="3"/>
      <c r="QI5" s="3"/>
      <c r="QQ5" s="5"/>
      <c r="QR5" s="5"/>
      <c r="QS5" s="5"/>
      <c r="RC5" s="5"/>
      <c r="RD5" s="5"/>
      <c r="RQ5" s="6"/>
      <c r="RZ5" s="21"/>
      <c r="SA5" s="21"/>
      <c r="SB5" s="21"/>
      <c r="SC5" s="21"/>
      <c r="UW5" s="149" t="s">
        <v>6</v>
      </c>
      <c r="UX5" s="149"/>
      <c r="UY5" s="149"/>
      <c r="UZ5" s="149"/>
      <c r="VA5" s="149"/>
      <c r="VB5" s="149"/>
      <c r="VC5" s="149"/>
      <c r="VD5" s="149"/>
      <c r="VE5" s="149"/>
      <c r="VF5" s="149"/>
      <c r="VG5" s="149"/>
      <c r="VH5" s="149"/>
      <c r="VI5" s="149"/>
      <c r="VJ5" s="149"/>
      <c r="VK5" s="149"/>
      <c r="VL5" s="149"/>
      <c r="VM5" s="149"/>
      <c r="VN5" s="149"/>
      <c r="VO5" s="149"/>
      <c r="VP5" s="149"/>
      <c r="VQ5" s="149"/>
      <c r="VR5" s="149"/>
      <c r="VS5" s="149"/>
      <c r="VT5" s="149"/>
      <c r="VU5" s="149"/>
      <c r="VV5" s="149"/>
      <c r="VW5" s="149"/>
      <c r="VX5" s="149"/>
      <c r="WC5" s="7"/>
      <c r="WD5" s="7"/>
      <c r="WE5" s="22" t="s">
        <v>7</v>
      </c>
      <c r="WF5" s="7"/>
      <c r="WK5" s="5"/>
      <c r="WL5" s="5"/>
      <c r="WP5" s="5"/>
      <c r="WZ5" s="165" t="s">
        <v>8</v>
      </c>
      <c r="XA5" s="166"/>
      <c r="XB5" s="166"/>
      <c r="XC5" s="166"/>
      <c r="XD5" s="166"/>
      <c r="XE5" s="166"/>
      <c r="XF5" s="167"/>
      <c r="XG5" s="149" t="s">
        <v>9</v>
      </c>
      <c r="XH5" s="149"/>
      <c r="XI5" s="149"/>
      <c r="XJ5" s="149"/>
      <c r="XK5" s="149"/>
      <c r="XL5" s="149"/>
      <c r="XM5" s="149"/>
      <c r="XS5" s="148" t="s">
        <v>10</v>
      </c>
      <c r="XT5" s="156" t="s">
        <v>11</v>
      </c>
      <c r="XU5" s="149" t="s">
        <v>12</v>
      </c>
      <c r="XV5" s="149"/>
      <c r="XW5" s="149"/>
      <c r="XX5" s="149"/>
      <c r="XY5" s="149"/>
      <c r="XZ5" s="149"/>
      <c r="YA5" s="149"/>
      <c r="YB5" s="149"/>
      <c r="YC5" s="149"/>
      <c r="YD5" s="149"/>
      <c r="YE5" s="148" t="s">
        <v>13</v>
      </c>
      <c r="YF5" s="148" t="s">
        <v>14</v>
      </c>
      <c r="YG5" s="148" t="s">
        <v>15</v>
      </c>
      <c r="YY5" s="149" t="s">
        <v>6</v>
      </c>
      <c r="YZ5" s="149"/>
      <c r="ZA5" s="149"/>
      <c r="ZB5" s="149"/>
      <c r="ZC5" s="149"/>
      <c r="ZD5" s="149"/>
      <c r="ZE5" s="149"/>
      <c r="ZF5" s="149"/>
      <c r="ZG5" s="149"/>
      <c r="ZH5" s="149"/>
      <c r="ZI5" s="149"/>
      <c r="ZJ5" s="149"/>
      <c r="ZK5" s="149"/>
      <c r="ZL5" s="149"/>
      <c r="ZM5" s="149"/>
      <c r="ZN5" s="149"/>
      <c r="ZO5" s="149"/>
      <c r="ZP5" s="149"/>
      <c r="ZQ5" s="149"/>
      <c r="ZR5" s="149"/>
      <c r="ZS5" s="149"/>
      <c r="ZT5" s="149"/>
      <c r="ZU5" s="149"/>
      <c r="ZV5" s="149"/>
      <c r="ZW5" s="149"/>
      <c r="ZX5" s="149"/>
      <c r="ZY5" s="149"/>
      <c r="ZZ5" s="149"/>
      <c r="AAA5" s="149"/>
      <c r="AAF5" s="23" t="s">
        <v>16</v>
      </c>
      <c r="AAG5" s="7"/>
      <c r="AAH5" s="144" t="s">
        <v>17</v>
      </c>
      <c r="AAI5" s="24" t="s">
        <v>16</v>
      </c>
      <c r="AAJ5" s="157" t="s">
        <v>18</v>
      </c>
      <c r="AAN5" s="25" t="s">
        <v>19</v>
      </c>
      <c r="AAO5" s="149" t="s">
        <v>19</v>
      </c>
      <c r="AAP5" s="149"/>
      <c r="AAQ5" s="149"/>
      <c r="AAR5" s="149"/>
      <c r="AAS5" s="149"/>
      <c r="AAT5" s="149"/>
      <c r="AAU5" s="149"/>
      <c r="AAV5" s="149"/>
      <c r="AAW5" s="149"/>
      <c r="AAX5" s="149"/>
      <c r="AAY5" s="149"/>
      <c r="AAZ5" s="149"/>
      <c r="ABA5" s="149"/>
      <c r="ABB5" s="149"/>
      <c r="ABC5" s="149"/>
      <c r="ABD5" s="149"/>
      <c r="ABE5" s="149"/>
      <c r="ABF5" s="149"/>
      <c r="ABG5" s="149"/>
      <c r="ABH5" s="149"/>
      <c r="ABI5" s="149"/>
      <c r="ABJ5" s="149"/>
      <c r="ABK5" s="149"/>
      <c r="ABL5" s="149"/>
      <c r="ABM5" s="149"/>
      <c r="ABN5" s="149"/>
      <c r="ABO5" s="149"/>
      <c r="ABP5" s="149"/>
      <c r="ABQ5" s="149"/>
      <c r="ABR5" s="149"/>
      <c r="ABS5" s="149"/>
      <c r="ABT5" s="149"/>
      <c r="ABU5" s="149"/>
      <c r="ABV5" s="149"/>
      <c r="ABW5" s="149"/>
      <c r="ABX5" s="149"/>
      <c r="ABY5" s="149"/>
      <c r="ABZ5" s="149"/>
      <c r="ACA5" s="149"/>
      <c r="ACB5" s="149"/>
      <c r="ACC5" s="149"/>
      <c r="ACD5" s="149"/>
      <c r="ACE5" s="149"/>
      <c r="ACF5" s="149"/>
      <c r="ACG5" s="149"/>
      <c r="ACH5" s="26"/>
      <c r="ACI5" s="27"/>
      <c r="ACN5" s="22">
        <v>2017</v>
      </c>
      <c r="ACO5" s="28" t="s">
        <v>20</v>
      </c>
      <c r="ACP5" s="28" t="s">
        <v>21</v>
      </c>
      <c r="ACQ5" s="141" t="s">
        <v>22</v>
      </c>
      <c r="ACR5" s="28" t="s">
        <v>20</v>
      </c>
      <c r="ACS5" s="28" t="s">
        <v>21</v>
      </c>
      <c r="ACT5" s="141" t="s">
        <v>22</v>
      </c>
      <c r="ACX5" s="148" t="s">
        <v>23</v>
      </c>
      <c r="ACY5" s="29"/>
      <c r="ADB5" s="148" t="s">
        <v>10</v>
      </c>
      <c r="ADC5" s="156" t="s">
        <v>11</v>
      </c>
      <c r="ADD5" s="149" t="s">
        <v>12</v>
      </c>
      <c r="ADE5" s="149"/>
      <c r="ADF5" s="149"/>
      <c r="ADG5" s="149"/>
      <c r="ADH5" s="149"/>
      <c r="ADI5" s="149"/>
      <c r="ADJ5" s="149"/>
      <c r="ADK5" s="149"/>
      <c r="ADL5" s="149"/>
      <c r="ADM5" s="149"/>
      <c r="ADN5" s="149"/>
      <c r="ADO5" s="149"/>
      <c r="ADP5" s="148" t="s">
        <v>13</v>
      </c>
      <c r="ADQ5" s="148" t="s">
        <v>14</v>
      </c>
      <c r="ADR5" s="148" t="s">
        <v>24</v>
      </c>
      <c r="AEG5" s="1" t="s">
        <v>19</v>
      </c>
    </row>
    <row r="6" spans="1:856" s="1" customFormat="1" ht="20.25" customHeight="1">
      <c r="A6" s="138"/>
      <c r="B6" s="138" t="s">
        <v>25</v>
      </c>
      <c r="C6" s="145"/>
      <c r="D6" s="159" t="s">
        <v>25</v>
      </c>
      <c r="E6" s="138" t="s">
        <v>26</v>
      </c>
      <c r="F6" s="138" t="s">
        <v>27</v>
      </c>
      <c r="G6" s="160"/>
      <c r="H6" s="20"/>
      <c r="I6" s="138" t="s">
        <v>28</v>
      </c>
      <c r="J6" s="138" t="s">
        <v>29</v>
      </c>
      <c r="K6" s="138" t="s">
        <v>30</v>
      </c>
      <c r="L6" s="28"/>
      <c r="M6" s="28"/>
      <c r="N6" s="28"/>
      <c r="O6" s="28"/>
      <c r="P6" s="28"/>
      <c r="Q6" s="28"/>
      <c r="R6" s="28"/>
      <c r="S6" s="138" t="s">
        <v>31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30"/>
      <c r="AF6" s="23"/>
      <c r="AG6" s="23"/>
      <c r="AH6" s="23"/>
      <c r="AI6" s="23"/>
      <c r="AN6" s="23"/>
      <c r="AO6" s="23"/>
      <c r="AP6" s="23"/>
      <c r="AQ6" s="23"/>
      <c r="AR6" s="23"/>
      <c r="AS6" s="23" t="s">
        <v>32</v>
      </c>
      <c r="AY6" s="23"/>
      <c r="AZ6" s="23"/>
      <c r="BA6" s="23"/>
      <c r="BB6" s="23"/>
      <c r="BC6" s="23"/>
      <c r="BD6" s="3"/>
      <c r="BF6" s="23"/>
      <c r="BI6" s="23"/>
      <c r="BJ6" s="23"/>
      <c r="BL6" s="23"/>
      <c r="BM6" s="23"/>
      <c r="BN6" s="23"/>
      <c r="BO6" s="23"/>
      <c r="BP6" s="23"/>
      <c r="BQ6" s="23"/>
      <c r="BR6" s="23"/>
      <c r="BS6" s="23"/>
      <c r="BT6" s="23"/>
      <c r="BW6" s="31" t="s">
        <v>33</v>
      </c>
      <c r="BX6" s="31" t="s">
        <v>33</v>
      </c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 t="s">
        <v>34</v>
      </c>
      <c r="CJ6" s="31"/>
      <c r="CK6" s="31"/>
      <c r="CL6" s="31"/>
      <c r="CM6" s="31"/>
      <c r="CN6" s="31"/>
      <c r="CO6" s="31" t="s">
        <v>33</v>
      </c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 t="s">
        <v>33</v>
      </c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S6" s="31"/>
      <c r="DT6" s="31" t="s">
        <v>33</v>
      </c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G6" s="31" t="s">
        <v>35</v>
      </c>
      <c r="EH6" s="31" t="s">
        <v>33</v>
      </c>
      <c r="EI6" s="31"/>
      <c r="EJ6" s="31"/>
      <c r="EK6" s="31"/>
      <c r="EL6" s="31"/>
      <c r="EM6" s="31"/>
      <c r="EN6" s="31"/>
      <c r="EO6" s="31"/>
      <c r="EP6" s="31"/>
      <c r="EQ6" s="31" t="s">
        <v>36</v>
      </c>
      <c r="ER6" s="31"/>
      <c r="ES6" s="31"/>
      <c r="ET6" s="31"/>
      <c r="EU6" s="31"/>
      <c r="EV6" s="31"/>
      <c r="EW6" s="31" t="s">
        <v>33</v>
      </c>
      <c r="FA6" s="31"/>
      <c r="FB6" s="31"/>
      <c r="FC6" s="31"/>
      <c r="FD6" s="31"/>
      <c r="FE6" s="31"/>
      <c r="FF6" s="31"/>
      <c r="FG6" s="31"/>
      <c r="FH6" s="31"/>
      <c r="FI6" s="31"/>
      <c r="FK6" s="31"/>
      <c r="FL6" s="31" t="s">
        <v>33</v>
      </c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B6" s="31"/>
      <c r="GC6" s="31" t="s">
        <v>33</v>
      </c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23"/>
      <c r="GU6" s="31"/>
      <c r="GV6" s="31"/>
      <c r="GW6" s="31"/>
      <c r="GX6" s="23"/>
      <c r="GY6" s="31"/>
      <c r="GZ6" s="31"/>
      <c r="HA6" s="31"/>
      <c r="HB6" s="23"/>
      <c r="HC6" s="31"/>
      <c r="HD6" s="31"/>
      <c r="HE6" s="31"/>
      <c r="HF6" s="23"/>
      <c r="HG6" s="23"/>
      <c r="HH6" s="23"/>
      <c r="HJ6" s="31"/>
      <c r="HK6" s="31"/>
      <c r="HL6" s="31"/>
      <c r="HM6" s="31"/>
      <c r="HN6" s="31"/>
      <c r="HO6" s="31"/>
      <c r="HP6" s="31"/>
      <c r="HQ6" s="31"/>
      <c r="HR6" s="31"/>
      <c r="HT6" s="31"/>
      <c r="HU6" s="31"/>
      <c r="HV6" s="31"/>
      <c r="HW6" s="31"/>
      <c r="HX6" s="31"/>
      <c r="HZ6" s="31"/>
      <c r="IA6" s="31"/>
      <c r="IB6" s="31"/>
      <c r="IC6" s="31"/>
      <c r="ID6" s="31"/>
      <c r="IE6" s="31"/>
      <c r="IF6" s="23"/>
      <c r="IG6" s="30"/>
      <c r="IH6" s="23"/>
      <c r="II6" s="23"/>
      <c r="IJ6" s="31"/>
      <c r="IK6" s="23"/>
      <c r="IL6" s="31"/>
      <c r="IM6" s="23"/>
      <c r="IN6" s="23">
        <f>ROUND((3.88*6+4.17*6)/12,2)</f>
        <v>4.03</v>
      </c>
      <c r="IO6" s="23"/>
      <c r="IQ6" s="31"/>
      <c r="IR6" s="31" t="s">
        <v>33</v>
      </c>
      <c r="IZ6" s="31"/>
      <c r="JA6" s="31"/>
      <c r="JB6" s="31"/>
      <c r="JC6" s="31"/>
      <c r="JD6" s="31"/>
      <c r="JE6" s="31"/>
      <c r="JG6" s="31"/>
      <c r="JH6" s="31" t="s">
        <v>33</v>
      </c>
      <c r="JN6" s="31"/>
      <c r="JO6" s="31"/>
      <c r="JP6" s="31"/>
      <c r="JQ6" s="31"/>
      <c r="JR6" s="31"/>
      <c r="JS6" s="31"/>
      <c r="JU6" s="31"/>
      <c r="JV6" s="31"/>
      <c r="JW6" s="31"/>
      <c r="JX6" s="31"/>
      <c r="JY6" s="31"/>
      <c r="JZ6" s="31"/>
      <c r="KA6" s="31"/>
      <c r="KB6" s="31"/>
      <c r="KC6" s="31"/>
      <c r="KK6" s="31"/>
      <c r="KM6" s="31"/>
      <c r="KN6" s="31" t="s">
        <v>33</v>
      </c>
      <c r="KS6" s="31"/>
      <c r="KT6" s="31"/>
      <c r="KU6" s="31"/>
      <c r="KV6" s="31"/>
      <c r="KW6" s="31"/>
      <c r="KX6" s="31"/>
      <c r="KY6" s="31"/>
      <c r="KZ6" s="31"/>
      <c r="LA6" s="32"/>
      <c r="LB6" s="23"/>
      <c r="LC6" s="30"/>
      <c r="LD6" s="30"/>
      <c r="LE6" s="30"/>
      <c r="LF6" s="23"/>
      <c r="LG6" s="32"/>
      <c r="LH6" s="32"/>
      <c r="LI6" s="23"/>
      <c r="LJ6" s="32"/>
      <c r="LK6" s="23"/>
      <c r="LL6" s="32"/>
      <c r="LM6" s="23"/>
      <c r="LN6" s="32"/>
      <c r="LO6" s="32"/>
      <c r="LP6" s="32"/>
      <c r="LQ6" s="32"/>
      <c r="LT6" s="31"/>
      <c r="LU6" s="31"/>
      <c r="LV6" s="31"/>
      <c r="LW6" s="31"/>
      <c r="LZ6" s="31"/>
      <c r="MA6" s="31"/>
      <c r="MB6" s="31"/>
      <c r="MC6" s="31"/>
      <c r="MF6" s="31"/>
      <c r="MG6" s="31"/>
      <c r="MH6" s="31"/>
      <c r="MI6" s="31"/>
      <c r="ML6" s="31"/>
      <c r="MM6" s="31"/>
      <c r="MN6" s="31"/>
      <c r="MO6" s="31"/>
      <c r="MP6" s="31"/>
      <c r="MQ6" s="23"/>
      <c r="MR6" s="31"/>
      <c r="MS6" s="23"/>
      <c r="MT6" s="32"/>
      <c r="MU6" s="32"/>
      <c r="MV6" s="30"/>
      <c r="MW6" s="32"/>
      <c r="MX6" s="32"/>
      <c r="MY6" s="32"/>
      <c r="MZ6" s="32"/>
      <c r="NA6" s="32"/>
      <c r="NB6" s="32"/>
      <c r="NC6" s="30"/>
      <c r="ND6" s="32"/>
      <c r="NE6" s="32"/>
      <c r="NF6" s="32"/>
      <c r="NG6" s="32"/>
      <c r="NH6" s="23"/>
      <c r="NI6" s="32"/>
      <c r="NJ6" s="32"/>
      <c r="NK6" s="30"/>
      <c r="NL6" s="32"/>
      <c r="NM6" s="32"/>
      <c r="NN6" s="32"/>
      <c r="NO6" s="32"/>
      <c r="NP6" s="32"/>
      <c r="NQ6" s="32"/>
      <c r="NR6" s="30"/>
      <c r="NS6" s="32"/>
      <c r="NT6" s="32"/>
      <c r="NU6" s="32"/>
      <c r="NV6" s="32"/>
      <c r="NW6" s="32"/>
      <c r="NX6" s="32"/>
      <c r="NY6" s="30"/>
      <c r="NZ6" s="32"/>
      <c r="OA6" s="32"/>
      <c r="OB6" s="32"/>
      <c r="OC6" s="32"/>
      <c r="OD6" s="31"/>
      <c r="OE6" s="23"/>
      <c r="OF6" s="30"/>
      <c r="OG6" s="33"/>
      <c r="OH6" s="33"/>
      <c r="OI6" s="31"/>
      <c r="OJ6" s="23"/>
      <c r="OK6" s="31"/>
      <c r="OL6" s="23"/>
      <c r="OM6" s="23"/>
      <c r="ON6" s="31"/>
      <c r="OO6" s="23"/>
      <c r="OP6" s="23"/>
      <c r="OQ6" s="23"/>
      <c r="OR6" s="23"/>
      <c r="OS6" s="23"/>
      <c r="OT6" s="23"/>
      <c r="OU6" s="23"/>
      <c r="OV6" s="34"/>
      <c r="OW6" s="23"/>
      <c r="OX6" s="23"/>
      <c r="OY6" s="23"/>
      <c r="OZ6" s="23"/>
      <c r="PA6" s="35"/>
      <c r="PB6" s="32"/>
      <c r="PC6" s="30"/>
      <c r="PD6" s="35"/>
      <c r="PE6" s="32"/>
      <c r="PF6" s="31"/>
      <c r="PG6" s="23"/>
      <c r="PH6" s="31"/>
      <c r="PI6" s="23"/>
      <c r="PJ6" s="31"/>
      <c r="PK6" s="23"/>
      <c r="PL6" s="23"/>
      <c r="PM6" s="31"/>
      <c r="PN6" s="23"/>
      <c r="PO6" s="30"/>
      <c r="PP6" s="31"/>
      <c r="PQ6" s="23"/>
      <c r="PR6" s="31"/>
      <c r="PS6" s="23"/>
      <c r="PT6" s="31"/>
      <c r="PU6" s="23"/>
      <c r="PV6" s="31"/>
      <c r="PW6" s="23"/>
      <c r="PX6" s="31"/>
      <c r="PY6" s="23"/>
      <c r="PZ6" s="31"/>
      <c r="QA6" s="23"/>
      <c r="QB6" s="30"/>
      <c r="QC6" s="31"/>
      <c r="QD6" s="23"/>
      <c r="QE6" s="31"/>
      <c r="QF6" s="23"/>
      <c r="QG6" s="31"/>
      <c r="QH6" s="23"/>
      <c r="QI6" s="30"/>
      <c r="QQ6" s="5"/>
      <c r="QR6" s="5"/>
      <c r="QS6" s="5"/>
      <c r="RC6" s="36" t="s">
        <v>37</v>
      </c>
      <c r="RD6" s="34"/>
      <c r="RE6" s="31"/>
      <c r="RF6" s="23"/>
      <c r="RG6" s="23"/>
      <c r="RH6" s="31"/>
      <c r="RI6" s="23"/>
      <c r="RJ6" s="23" t="s">
        <v>38</v>
      </c>
      <c r="RK6" s="23" t="s">
        <v>17</v>
      </c>
      <c r="RL6" s="23"/>
      <c r="RM6" s="23"/>
      <c r="RQ6" s="6"/>
      <c r="RT6" s="25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 t="s">
        <v>39</v>
      </c>
      <c r="SI6" s="26"/>
      <c r="SJ6" s="26"/>
      <c r="SK6" s="26"/>
      <c r="SL6" s="26"/>
      <c r="SM6" s="26"/>
      <c r="SN6" s="26"/>
      <c r="SO6" s="26"/>
      <c r="SP6" s="26"/>
      <c r="SQ6" s="26" t="s">
        <v>40</v>
      </c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7"/>
      <c r="TP6" s="37"/>
      <c r="TQ6" s="37"/>
      <c r="TR6" s="37"/>
      <c r="TS6" s="37"/>
      <c r="TT6" s="37"/>
      <c r="TU6" s="37"/>
      <c r="TV6" s="37"/>
      <c r="TW6" s="37"/>
      <c r="TX6" s="37"/>
      <c r="TY6" s="37"/>
      <c r="TZ6" s="37"/>
      <c r="UB6" s="25" t="s">
        <v>41</v>
      </c>
      <c r="UC6" s="26"/>
      <c r="UD6" s="26"/>
      <c r="UE6" s="26"/>
      <c r="UF6" s="26"/>
      <c r="UG6" s="26"/>
      <c r="UH6" s="26"/>
      <c r="UI6" s="26"/>
      <c r="UJ6" s="26"/>
      <c r="UK6" s="27"/>
      <c r="UU6" s="38">
        <v>42370</v>
      </c>
      <c r="UW6" s="141" t="s">
        <v>42</v>
      </c>
      <c r="UX6" s="152" t="s">
        <v>12</v>
      </c>
      <c r="UY6" s="153"/>
      <c r="UZ6" s="153"/>
      <c r="VA6" s="153"/>
      <c r="VB6" s="153"/>
      <c r="VC6" s="153"/>
      <c r="VD6" s="153"/>
      <c r="VE6" s="153"/>
      <c r="VF6" s="153"/>
      <c r="VG6" s="153"/>
      <c r="VH6" s="153"/>
      <c r="VI6" s="153"/>
      <c r="VJ6" s="154"/>
      <c r="VK6" s="141" t="s">
        <v>43</v>
      </c>
      <c r="VL6" s="141" t="s">
        <v>44</v>
      </c>
      <c r="VM6" s="141" t="s">
        <v>13</v>
      </c>
      <c r="VN6" s="141" t="s">
        <v>45</v>
      </c>
      <c r="VO6" s="144" t="s">
        <v>46</v>
      </c>
      <c r="VP6" s="39" t="s">
        <v>45</v>
      </c>
      <c r="VQ6" s="39" t="s">
        <v>46</v>
      </c>
      <c r="VR6" s="144" t="s">
        <v>47</v>
      </c>
      <c r="VS6" s="144" t="s">
        <v>48</v>
      </c>
      <c r="VT6" s="20"/>
      <c r="VU6" s="20"/>
      <c r="VV6" s="20"/>
      <c r="VW6" s="141" t="s">
        <v>14</v>
      </c>
      <c r="VX6" s="141" t="s">
        <v>38</v>
      </c>
      <c r="VY6" s="145" t="s">
        <v>49</v>
      </c>
      <c r="VZ6" s="40"/>
      <c r="WA6" s="144" t="s">
        <v>50</v>
      </c>
      <c r="WB6" s="144" t="s">
        <v>51</v>
      </c>
      <c r="WC6" s="141" t="s">
        <v>17</v>
      </c>
      <c r="WD6" s="41"/>
      <c r="WE6" s="157" t="s">
        <v>38</v>
      </c>
      <c r="WF6" s="42"/>
      <c r="WG6" s="31"/>
      <c r="WH6" s="31"/>
      <c r="WI6" s="31"/>
      <c r="WJ6" s="31"/>
      <c r="WK6" s="36"/>
      <c r="WL6" s="36"/>
      <c r="WM6" s="31"/>
      <c r="WN6" s="23"/>
      <c r="WO6" s="39"/>
      <c r="WP6" s="144" t="s">
        <v>49</v>
      </c>
      <c r="WQ6" s="141" t="s">
        <v>51</v>
      </c>
      <c r="WR6" s="144" t="s">
        <v>52</v>
      </c>
      <c r="WS6" s="144" t="s">
        <v>53</v>
      </c>
      <c r="WT6" s="144" t="s">
        <v>54</v>
      </c>
      <c r="WU6" s="39"/>
      <c r="WV6" s="39"/>
      <c r="WW6" s="43"/>
      <c r="WX6" s="43"/>
      <c r="WY6" s="43"/>
      <c r="WZ6" s="152" t="s">
        <v>55</v>
      </c>
      <c r="XA6" s="153"/>
      <c r="XB6" s="154"/>
      <c r="XF6" s="137" t="s">
        <v>56</v>
      </c>
      <c r="XG6" s="137" t="s">
        <v>57</v>
      </c>
      <c r="XH6" s="7"/>
      <c r="XI6" s="7" t="s">
        <v>12</v>
      </c>
      <c r="XJ6" s="7"/>
      <c r="XK6" s="7"/>
      <c r="XL6" s="7"/>
      <c r="XM6" s="155" t="s">
        <v>49</v>
      </c>
      <c r="XS6" s="148"/>
      <c r="XT6" s="161"/>
      <c r="XU6" s="148" t="s">
        <v>58</v>
      </c>
      <c r="XV6" s="156" t="s">
        <v>59</v>
      </c>
      <c r="XW6" s="138" t="s">
        <v>12</v>
      </c>
      <c r="XX6" s="138"/>
      <c r="XY6" s="136" t="s">
        <v>60</v>
      </c>
      <c r="XZ6" s="138" t="s">
        <v>12</v>
      </c>
      <c r="YA6" s="138"/>
      <c r="YB6" s="138"/>
      <c r="YC6" s="138"/>
      <c r="YD6" s="138"/>
      <c r="YE6" s="148"/>
      <c r="YF6" s="148"/>
      <c r="YG6" s="148"/>
      <c r="YY6" s="141" t="s">
        <v>42</v>
      </c>
      <c r="YZ6" s="152" t="s">
        <v>12</v>
      </c>
      <c r="ZA6" s="153"/>
      <c r="ZB6" s="153"/>
      <c r="ZC6" s="153"/>
      <c r="ZD6" s="153"/>
      <c r="ZE6" s="153"/>
      <c r="ZF6" s="153"/>
      <c r="ZG6" s="153"/>
      <c r="ZH6" s="153"/>
      <c r="ZI6" s="153"/>
      <c r="ZJ6" s="153"/>
      <c r="ZK6" s="154"/>
      <c r="ZL6" s="144" t="s">
        <v>43</v>
      </c>
      <c r="ZM6" s="141" t="s">
        <v>44</v>
      </c>
      <c r="ZN6" s="147" t="s">
        <v>13</v>
      </c>
      <c r="ZO6" s="147" t="s">
        <v>13</v>
      </c>
      <c r="ZP6" s="141" t="s">
        <v>13</v>
      </c>
      <c r="ZQ6" s="141" t="s">
        <v>45</v>
      </c>
      <c r="ZR6" s="144" t="s">
        <v>46</v>
      </c>
      <c r="ZS6" s="39" t="s">
        <v>45</v>
      </c>
      <c r="ZT6" s="39" t="s">
        <v>46</v>
      </c>
      <c r="ZU6" s="144" t="s">
        <v>47</v>
      </c>
      <c r="ZV6" s="144" t="s">
        <v>48</v>
      </c>
      <c r="ZW6" s="20"/>
      <c r="ZX6" s="20"/>
      <c r="ZY6" s="20"/>
      <c r="ZZ6" s="141" t="s">
        <v>14</v>
      </c>
      <c r="AAA6" s="141" t="s">
        <v>38</v>
      </c>
      <c r="AAB6" s="145" t="s">
        <v>49</v>
      </c>
      <c r="AAC6" s="40"/>
      <c r="AAD6" s="144" t="s">
        <v>50</v>
      </c>
      <c r="AAE6" s="144" t="s">
        <v>51</v>
      </c>
      <c r="AAF6" s="144" t="s">
        <v>38</v>
      </c>
      <c r="AAG6" s="146" t="s">
        <v>18</v>
      </c>
      <c r="AAH6" s="139"/>
      <c r="AAI6" s="150" t="s">
        <v>17</v>
      </c>
      <c r="AAJ6" s="157"/>
      <c r="AAM6" s="148" t="s">
        <v>61</v>
      </c>
      <c r="AAN6" s="148" t="s">
        <v>62</v>
      </c>
      <c r="AAO6" s="141" t="s">
        <v>42</v>
      </c>
      <c r="AAP6" s="149" t="s">
        <v>12</v>
      </c>
      <c r="AAQ6" s="149"/>
      <c r="AAR6" s="149"/>
      <c r="AAS6" s="149"/>
      <c r="AAT6" s="149"/>
      <c r="AAU6" s="149"/>
      <c r="AAV6" s="149"/>
      <c r="AAW6" s="149"/>
      <c r="AAX6" s="149"/>
      <c r="AAY6" s="149"/>
      <c r="AAZ6" s="149"/>
      <c r="ABA6" s="149"/>
      <c r="ABB6" s="149"/>
      <c r="ABC6" s="149"/>
      <c r="ABD6" s="149"/>
      <c r="ABE6" s="149"/>
      <c r="ABF6" s="149"/>
      <c r="ABG6" s="149"/>
      <c r="ABH6" s="149"/>
      <c r="ABI6" s="149"/>
      <c r="ABJ6" s="149"/>
      <c r="ABK6" s="149"/>
      <c r="ABL6" s="149"/>
      <c r="ABM6" s="28"/>
      <c r="ABN6" s="141" t="s">
        <v>43</v>
      </c>
      <c r="ABO6" s="143" t="s">
        <v>63</v>
      </c>
      <c r="ABP6" s="141" t="s">
        <v>44</v>
      </c>
      <c r="ABQ6" s="144" t="s">
        <v>64</v>
      </c>
      <c r="ABR6" s="147" t="s">
        <v>13</v>
      </c>
      <c r="ABS6" s="147" t="s">
        <v>13</v>
      </c>
      <c r="ABT6" s="143" t="s">
        <v>65</v>
      </c>
      <c r="ABU6" s="141" t="s">
        <v>13</v>
      </c>
      <c r="ABV6" s="144" t="s">
        <v>64</v>
      </c>
      <c r="ABW6" s="141" t="s">
        <v>45</v>
      </c>
      <c r="ABX6" s="141" t="s">
        <v>46</v>
      </c>
      <c r="ABY6" s="40" t="s">
        <v>45</v>
      </c>
      <c r="ABZ6" s="40" t="s">
        <v>46</v>
      </c>
      <c r="ACA6" s="141" t="s">
        <v>47</v>
      </c>
      <c r="ACB6" s="141" t="s">
        <v>48</v>
      </c>
      <c r="ACC6" s="20"/>
      <c r="ACD6" s="20"/>
      <c r="ACE6" s="20"/>
      <c r="ACF6" s="143" t="s">
        <v>66</v>
      </c>
      <c r="ACG6" s="141" t="s">
        <v>14</v>
      </c>
      <c r="ACH6" s="144" t="s">
        <v>64</v>
      </c>
      <c r="ACI6" s="141" t="s">
        <v>38</v>
      </c>
      <c r="ACJ6" s="145" t="s">
        <v>49</v>
      </c>
      <c r="ACK6" s="40"/>
      <c r="ACL6" s="144" t="s">
        <v>50</v>
      </c>
      <c r="ACM6" s="144" t="s">
        <v>51</v>
      </c>
      <c r="ACN6" s="146" t="s">
        <v>17</v>
      </c>
      <c r="ACO6" s="139" t="s">
        <v>67</v>
      </c>
      <c r="ACP6" s="139" t="s">
        <v>67</v>
      </c>
      <c r="ACQ6" s="141"/>
      <c r="ACR6" s="141" t="s">
        <v>17</v>
      </c>
      <c r="ACS6" s="141" t="s">
        <v>17</v>
      </c>
      <c r="ACT6" s="141"/>
      <c r="ACU6" s="142" t="s">
        <v>68</v>
      </c>
      <c r="ACV6" s="143" t="s">
        <v>69</v>
      </c>
      <c r="ACX6" s="148"/>
      <c r="ACY6" s="159" t="s">
        <v>70</v>
      </c>
      <c r="ACZ6" s="44"/>
      <c r="ADB6" s="148"/>
      <c r="ADC6" s="161"/>
      <c r="ADD6" s="148" t="s">
        <v>58</v>
      </c>
      <c r="ADE6" s="156" t="s">
        <v>59</v>
      </c>
      <c r="ADF6" s="162" t="s">
        <v>12</v>
      </c>
      <c r="ADG6" s="163"/>
      <c r="ADH6" s="163"/>
      <c r="ADI6" s="159"/>
      <c r="ADJ6" s="136" t="s">
        <v>60</v>
      </c>
      <c r="ADK6" s="138" t="s">
        <v>12</v>
      </c>
      <c r="ADL6" s="138"/>
      <c r="ADM6" s="138"/>
      <c r="ADN6" s="138"/>
      <c r="ADO6" s="138"/>
      <c r="ADP6" s="148"/>
      <c r="ADQ6" s="148"/>
      <c r="ADR6" s="148"/>
      <c r="AEG6" s="1" t="s">
        <v>42</v>
      </c>
      <c r="AEH6" s="1" t="s">
        <v>12</v>
      </c>
      <c r="AEV6" s="1" t="s">
        <v>43</v>
      </c>
      <c r="AEW6" s="1" t="s">
        <v>44</v>
      </c>
      <c r="AEX6" s="1" t="s">
        <v>13</v>
      </c>
      <c r="AEY6" s="1" t="s">
        <v>13</v>
      </c>
      <c r="AEZ6" s="1" t="s">
        <v>13</v>
      </c>
      <c r="AFA6" s="1" t="s">
        <v>45</v>
      </c>
      <c r="AFB6" s="1" t="s">
        <v>46</v>
      </c>
      <c r="AFC6" s="1" t="s">
        <v>45</v>
      </c>
      <c r="AFD6" s="1" t="s">
        <v>46</v>
      </c>
      <c r="AFE6" s="1" t="s">
        <v>47</v>
      </c>
      <c r="AFF6" s="1" t="s">
        <v>48</v>
      </c>
      <c r="AFJ6" s="1" t="s">
        <v>14</v>
      </c>
      <c r="AFK6" s="1" t="s">
        <v>38</v>
      </c>
      <c r="AFL6" s="1" t="s">
        <v>49</v>
      </c>
      <c r="AFN6" s="1" t="s">
        <v>50</v>
      </c>
      <c r="AFO6" s="1" t="s">
        <v>51</v>
      </c>
      <c r="AFP6" s="1" t="s">
        <v>17</v>
      </c>
    </row>
    <row r="7" spans="1:856" s="1" customFormat="1" ht="183" customHeight="1">
      <c r="A7" s="138"/>
      <c r="B7" s="138"/>
      <c r="C7" s="145"/>
      <c r="D7" s="159"/>
      <c r="E7" s="138"/>
      <c r="F7" s="138"/>
      <c r="G7" s="160"/>
      <c r="H7" s="20"/>
      <c r="I7" s="138"/>
      <c r="J7" s="138"/>
      <c r="K7" s="138"/>
      <c r="L7" s="45" t="s">
        <v>71</v>
      </c>
      <c r="M7" s="45" t="s">
        <v>72</v>
      </c>
      <c r="N7" s="45" t="s">
        <v>73</v>
      </c>
      <c r="O7" s="46" t="s">
        <v>74</v>
      </c>
      <c r="P7" s="45" t="s">
        <v>75</v>
      </c>
      <c r="Q7" s="45" t="s">
        <v>76</v>
      </c>
      <c r="R7" s="46" t="s">
        <v>77</v>
      </c>
      <c r="S7" s="138"/>
      <c r="T7" s="47" t="s">
        <v>78</v>
      </c>
      <c r="U7" s="45" t="s">
        <v>79</v>
      </c>
      <c r="V7" s="45" t="s">
        <v>80</v>
      </c>
      <c r="W7" s="45" t="s">
        <v>81</v>
      </c>
      <c r="X7" s="45" t="s">
        <v>79</v>
      </c>
      <c r="Y7" s="45" t="s">
        <v>80</v>
      </c>
      <c r="Z7" s="45" t="s">
        <v>82</v>
      </c>
      <c r="AA7" s="45" t="s">
        <v>79</v>
      </c>
      <c r="AB7" s="45" t="s">
        <v>80</v>
      </c>
      <c r="AC7" s="45" t="s">
        <v>83</v>
      </c>
      <c r="AD7" s="46" t="s">
        <v>84</v>
      </c>
      <c r="AE7" s="48" t="s">
        <v>85</v>
      </c>
      <c r="AF7" s="40" t="s">
        <v>86</v>
      </c>
      <c r="AG7" s="40" t="s">
        <v>87</v>
      </c>
      <c r="AH7" s="49" t="s">
        <v>88</v>
      </c>
      <c r="AI7" s="45" t="s">
        <v>89</v>
      </c>
      <c r="AJ7" s="45" t="s">
        <v>90</v>
      </c>
      <c r="AK7" s="50" t="s">
        <v>91</v>
      </c>
      <c r="AL7" s="45" t="s">
        <v>92</v>
      </c>
      <c r="AM7" s="50" t="s">
        <v>93</v>
      </c>
      <c r="AN7" s="49" t="s">
        <v>94</v>
      </c>
      <c r="AO7" s="49" t="s">
        <v>95</v>
      </c>
      <c r="AP7" s="49" t="s">
        <v>96</v>
      </c>
      <c r="AQ7" s="49" t="s">
        <v>94</v>
      </c>
      <c r="AR7" s="49" t="s">
        <v>95</v>
      </c>
      <c r="AS7" s="40" t="s">
        <v>97</v>
      </c>
      <c r="AT7" s="45"/>
      <c r="AU7" s="45" t="s">
        <v>98</v>
      </c>
      <c r="AV7" s="50" t="s">
        <v>91</v>
      </c>
      <c r="AW7" s="45" t="s">
        <v>99</v>
      </c>
      <c r="AX7" s="50" t="s">
        <v>100</v>
      </c>
      <c r="AY7" s="46" t="s">
        <v>101</v>
      </c>
      <c r="AZ7" s="51"/>
      <c r="BA7" s="51"/>
      <c r="BB7" s="51" t="s">
        <v>100</v>
      </c>
      <c r="BC7" s="51" t="s">
        <v>101</v>
      </c>
      <c r="BD7" s="52" t="s">
        <v>102</v>
      </c>
      <c r="BE7" s="50" t="s">
        <v>100</v>
      </c>
      <c r="BF7" s="46" t="s">
        <v>101</v>
      </c>
      <c r="BG7" s="53" t="s">
        <v>103</v>
      </c>
      <c r="BH7" s="54" t="s">
        <v>104</v>
      </c>
      <c r="BI7" s="46" t="s">
        <v>101</v>
      </c>
      <c r="BJ7" s="46" t="s">
        <v>105</v>
      </c>
      <c r="BK7" s="54" t="s">
        <v>106</v>
      </c>
      <c r="BL7" s="46" t="s">
        <v>101</v>
      </c>
      <c r="BM7" s="55" t="s">
        <v>107</v>
      </c>
      <c r="BN7" s="55" t="s">
        <v>108</v>
      </c>
      <c r="BO7" s="54" t="s">
        <v>109</v>
      </c>
      <c r="BP7" s="46" t="s">
        <v>101</v>
      </c>
      <c r="BQ7" s="55" t="s">
        <v>110</v>
      </c>
      <c r="BR7" s="55" t="s">
        <v>108</v>
      </c>
      <c r="BS7" s="54" t="s">
        <v>109</v>
      </c>
      <c r="BT7" s="46" t="s">
        <v>101</v>
      </c>
      <c r="BU7" s="50"/>
      <c r="BW7" s="39" t="s">
        <v>111</v>
      </c>
      <c r="BX7" s="39" t="s">
        <v>112</v>
      </c>
      <c r="BY7" s="50"/>
      <c r="BZ7" s="50"/>
      <c r="CA7" s="50"/>
      <c r="CB7" s="39" t="s">
        <v>113</v>
      </c>
      <c r="CC7" s="50"/>
      <c r="CD7" s="50" t="s">
        <v>114</v>
      </c>
      <c r="CE7" s="50" t="s">
        <v>115</v>
      </c>
      <c r="CF7" s="50" t="s">
        <v>116</v>
      </c>
      <c r="CG7" s="50" t="s">
        <v>116</v>
      </c>
      <c r="CH7" s="50" t="s">
        <v>117</v>
      </c>
      <c r="CI7" s="39" t="s">
        <v>118</v>
      </c>
      <c r="CJ7" s="39" t="s">
        <v>119</v>
      </c>
      <c r="CK7" s="56" t="s">
        <v>120</v>
      </c>
      <c r="CL7" s="56" t="s">
        <v>121</v>
      </c>
      <c r="CM7" s="50"/>
      <c r="CN7" s="39" t="s">
        <v>122</v>
      </c>
      <c r="CO7" s="39" t="s">
        <v>123</v>
      </c>
      <c r="CP7" s="50"/>
      <c r="CQ7" s="50"/>
      <c r="CR7" s="39" t="s">
        <v>124</v>
      </c>
      <c r="CS7" s="50"/>
      <c r="CT7" s="50" t="s">
        <v>125</v>
      </c>
      <c r="CU7" s="50" t="s">
        <v>126</v>
      </c>
      <c r="CV7" s="50" t="s">
        <v>127</v>
      </c>
      <c r="CW7" s="50" t="s">
        <v>128</v>
      </c>
      <c r="CX7" s="39" t="s">
        <v>129</v>
      </c>
      <c r="CY7" s="39" t="s">
        <v>130</v>
      </c>
      <c r="CZ7" s="56" t="s">
        <v>131</v>
      </c>
      <c r="DA7" s="56" t="s">
        <v>132</v>
      </c>
      <c r="DB7" s="50"/>
      <c r="DC7" s="39" t="s">
        <v>133</v>
      </c>
      <c r="DD7" s="39" t="s">
        <v>134</v>
      </c>
      <c r="DE7" s="50"/>
      <c r="DF7" s="50"/>
      <c r="DG7" s="50"/>
      <c r="DH7" s="39" t="s">
        <v>135</v>
      </c>
      <c r="DI7" s="50"/>
      <c r="DJ7" s="50" t="s">
        <v>136</v>
      </c>
      <c r="DK7" s="50" t="s">
        <v>137</v>
      </c>
      <c r="DL7" s="50" t="s">
        <v>138</v>
      </c>
      <c r="DM7" s="50" t="s">
        <v>139</v>
      </c>
      <c r="DN7" s="39" t="s">
        <v>140</v>
      </c>
      <c r="DO7" s="39" t="s">
        <v>141</v>
      </c>
      <c r="DP7" s="56" t="s">
        <v>142</v>
      </c>
      <c r="DQ7" s="56" t="s">
        <v>143</v>
      </c>
      <c r="DR7" s="50"/>
      <c r="DS7" s="39" t="s">
        <v>144</v>
      </c>
      <c r="DT7" s="39" t="s">
        <v>145</v>
      </c>
      <c r="DU7" s="50"/>
      <c r="DV7" s="50"/>
      <c r="DW7" s="39" t="s">
        <v>146</v>
      </c>
      <c r="DX7" s="50"/>
      <c r="DY7" s="50" t="s">
        <v>147</v>
      </c>
      <c r="DZ7" s="50" t="s">
        <v>148</v>
      </c>
      <c r="EA7" s="50" t="s">
        <v>149</v>
      </c>
      <c r="EB7" s="39" t="s">
        <v>150</v>
      </c>
      <c r="EC7" s="39" t="s">
        <v>151</v>
      </c>
      <c r="ED7" s="56" t="s">
        <v>152</v>
      </c>
      <c r="EE7" s="56" t="s">
        <v>153</v>
      </c>
      <c r="EF7" s="50"/>
      <c r="EG7" s="39" t="s">
        <v>154</v>
      </c>
      <c r="EH7" s="39" t="s">
        <v>155</v>
      </c>
      <c r="EI7" s="50"/>
      <c r="EJ7" s="50"/>
      <c r="EK7" s="39" t="s">
        <v>156</v>
      </c>
      <c r="EL7" s="50"/>
      <c r="EM7" s="50" t="s">
        <v>114</v>
      </c>
      <c r="EN7" s="50" t="s">
        <v>115</v>
      </c>
      <c r="EO7" s="50" t="s">
        <v>116</v>
      </c>
      <c r="EP7" s="50" t="s">
        <v>117</v>
      </c>
      <c r="EQ7" s="39" t="s">
        <v>157</v>
      </c>
      <c r="ER7" s="39" t="s">
        <v>119</v>
      </c>
      <c r="ES7" s="56" t="s">
        <v>158</v>
      </c>
      <c r="ET7" s="56" t="s">
        <v>159</v>
      </c>
      <c r="EU7" s="50"/>
      <c r="EV7" s="39" t="s">
        <v>160</v>
      </c>
      <c r="EW7" s="39" t="s">
        <v>161</v>
      </c>
      <c r="EX7" s="50"/>
      <c r="EY7" s="50"/>
      <c r="EZ7" s="39" t="s">
        <v>162</v>
      </c>
      <c r="FA7" s="50"/>
      <c r="FB7" s="50" t="s">
        <v>125</v>
      </c>
      <c r="FC7" s="50" t="s">
        <v>126</v>
      </c>
      <c r="FD7" s="50" t="s">
        <v>163</v>
      </c>
      <c r="FE7" s="50" t="s">
        <v>128</v>
      </c>
      <c r="FF7" s="39" t="s">
        <v>129</v>
      </c>
      <c r="FG7" s="39" t="s">
        <v>130</v>
      </c>
      <c r="FH7" s="56" t="s">
        <v>131</v>
      </c>
      <c r="FI7" s="56" t="s">
        <v>132</v>
      </c>
      <c r="FJ7" s="50"/>
      <c r="FK7" s="39" t="s">
        <v>133</v>
      </c>
      <c r="FL7" s="39" t="s">
        <v>134</v>
      </c>
      <c r="FM7" s="50"/>
      <c r="FN7" s="50"/>
      <c r="FO7" s="39" t="s">
        <v>135</v>
      </c>
      <c r="FP7" s="50"/>
      <c r="FQ7" s="50" t="s">
        <v>136</v>
      </c>
      <c r="FR7" s="50" t="s">
        <v>137</v>
      </c>
      <c r="FS7" s="50" t="s">
        <v>164</v>
      </c>
      <c r="FT7" s="50" t="s">
        <v>139</v>
      </c>
      <c r="FU7" s="50" t="s">
        <v>165</v>
      </c>
      <c r="FV7" s="50" t="s">
        <v>139</v>
      </c>
      <c r="FW7" s="39" t="s">
        <v>140</v>
      </c>
      <c r="FX7" s="39" t="s">
        <v>141</v>
      </c>
      <c r="FY7" s="56" t="s">
        <v>142</v>
      </c>
      <c r="FZ7" s="56" t="s">
        <v>143</v>
      </c>
      <c r="GA7" s="50"/>
      <c r="GB7" s="39" t="s">
        <v>144</v>
      </c>
      <c r="GC7" s="39" t="s">
        <v>145</v>
      </c>
      <c r="GD7" s="50"/>
      <c r="GE7" s="50"/>
      <c r="GF7" s="39" t="s">
        <v>146</v>
      </c>
      <c r="GG7" s="50"/>
      <c r="GH7" s="50" t="s">
        <v>147</v>
      </c>
      <c r="GI7" s="50" t="s">
        <v>148</v>
      </c>
      <c r="GJ7" s="50" t="s">
        <v>149</v>
      </c>
      <c r="GK7" s="39" t="s">
        <v>150</v>
      </c>
      <c r="GL7" s="39" t="s">
        <v>151</v>
      </c>
      <c r="GM7" s="56" t="s">
        <v>152</v>
      </c>
      <c r="GN7" s="56" t="s">
        <v>153</v>
      </c>
      <c r="GO7" s="39" t="s">
        <v>166</v>
      </c>
      <c r="GP7" s="39" t="s">
        <v>167</v>
      </c>
      <c r="GQ7" s="39" t="s">
        <v>168</v>
      </c>
      <c r="GR7" s="39" t="s">
        <v>169</v>
      </c>
      <c r="GS7" s="39" t="s">
        <v>170</v>
      </c>
      <c r="GT7" s="46" t="s">
        <v>171</v>
      </c>
      <c r="GU7" s="56" t="s">
        <v>172</v>
      </c>
      <c r="GV7" s="56" t="s">
        <v>173</v>
      </c>
      <c r="GW7" s="56" t="s">
        <v>174</v>
      </c>
      <c r="GX7" s="46" t="s">
        <v>171</v>
      </c>
      <c r="GY7" s="56" t="s">
        <v>175</v>
      </c>
      <c r="GZ7" s="56" t="s">
        <v>176</v>
      </c>
      <c r="HA7" s="56" t="s">
        <v>177</v>
      </c>
      <c r="HB7" s="46" t="s">
        <v>171</v>
      </c>
      <c r="HC7" s="56" t="s">
        <v>178</v>
      </c>
      <c r="HD7" s="56" t="s">
        <v>179</v>
      </c>
      <c r="HE7" s="56" t="s">
        <v>180</v>
      </c>
      <c r="HF7" s="46" t="s">
        <v>171</v>
      </c>
      <c r="HG7" s="55"/>
      <c r="HH7" s="55"/>
      <c r="HI7" s="50"/>
      <c r="HJ7" s="50" t="s">
        <v>181</v>
      </c>
      <c r="HK7" s="50"/>
      <c r="HL7" s="50" t="s">
        <v>182</v>
      </c>
      <c r="HM7" s="50"/>
      <c r="HN7" s="39" t="s">
        <v>183</v>
      </c>
      <c r="HO7" s="50"/>
      <c r="HP7" s="56" t="s">
        <v>184</v>
      </c>
      <c r="HQ7" s="50"/>
      <c r="HR7" s="56" t="s">
        <v>185</v>
      </c>
      <c r="HS7" s="50"/>
      <c r="HT7" s="50" t="s">
        <v>186</v>
      </c>
      <c r="HU7" s="39" t="s">
        <v>187</v>
      </c>
      <c r="HV7" s="50"/>
      <c r="HW7" s="50"/>
      <c r="HX7" s="50" t="s">
        <v>188</v>
      </c>
      <c r="HY7" s="40" t="s">
        <v>189</v>
      </c>
      <c r="HZ7" s="39" t="s">
        <v>190</v>
      </c>
      <c r="IA7" s="39"/>
      <c r="IB7" s="39"/>
      <c r="IC7" s="50" t="s">
        <v>191</v>
      </c>
      <c r="ID7" s="50"/>
      <c r="IE7" s="50" t="s">
        <v>192</v>
      </c>
      <c r="IF7" s="46" t="s">
        <v>193</v>
      </c>
      <c r="IG7" s="48" t="s">
        <v>194</v>
      </c>
      <c r="IH7" s="49" t="s">
        <v>193</v>
      </c>
      <c r="II7" s="49" t="s">
        <v>193</v>
      </c>
      <c r="IJ7" s="56" t="s">
        <v>195</v>
      </c>
      <c r="IK7" s="49" t="s">
        <v>193</v>
      </c>
      <c r="IL7" s="56" t="s">
        <v>196</v>
      </c>
      <c r="IM7" s="49" t="s">
        <v>193</v>
      </c>
      <c r="IN7" s="55" t="s">
        <v>197</v>
      </c>
      <c r="IO7" s="49" t="s">
        <v>193</v>
      </c>
      <c r="IP7" s="50"/>
      <c r="IQ7" s="39" t="s">
        <v>198</v>
      </c>
      <c r="IR7" s="39" t="s">
        <v>199</v>
      </c>
      <c r="IS7" s="50"/>
      <c r="IT7" s="50"/>
      <c r="IU7" s="50"/>
      <c r="IV7" s="50"/>
      <c r="IW7" s="50"/>
      <c r="IX7" s="39" t="s">
        <v>200</v>
      </c>
      <c r="IY7" s="50"/>
      <c r="IZ7" s="50" t="s">
        <v>201</v>
      </c>
      <c r="JA7" s="50" t="s">
        <v>202</v>
      </c>
      <c r="JB7" s="39" t="s">
        <v>203</v>
      </c>
      <c r="JC7" s="39" t="s">
        <v>204</v>
      </c>
      <c r="JD7" s="56" t="s">
        <v>205</v>
      </c>
      <c r="JE7" s="56" t="s">
        <v>206</v>
      </c>
      <c r="JF7" s="50"/>
      <c r="JG7" s="39" t="s">
        <v>207</v>
      </c>
      <c r="JH7" s="39" t="s">
        <v>208</v>
      </c>
      <c r="JI7" s="50"/>
      <c r="JJ7" s="50"/>
      <c r="JK7" s="50"/>
      <c r="JL7" s="39" t="s">
        <v>209</v>
      </c>
      <c r="JM7" s="50"/>
      <c r="JN7" s="50" t="s">
        <v>210</v>
      </c>
      <c r="JO7" s="50" t="s">
        <v>211</v>
      </c>
      <c r="JP7" s="39" t="s">
        <v>212</v>
      </c>
      <c r="JQ7" s="39" t="s">
        <v>213</v>
      </c>
      <c r="JR7" s="56" t="s">
        <v>214</v>
      </c>
      <c r="JS7" s="56" t="s">
        <v>215</v>
      </c>
      <c r="JT7" s="50"/>
      <c r="JU7" s="50" t="s">
        <v>216</v>
      </c>
      <c r="JV7" s="50" t="s">
        <v>149</v>
      </c>
      <c r="JW7" s="39" t="s">
        <v>150</v>
      </c>
      <c r="JX7" s="39" t="s">
        <v>151</v>
      </c>
      <c r="JY7" s="56" t="s">
        <v>152</v>
      </c>
      <c r="JZ7" s="56" t="s">
        <v>153</v>
      </c>
      <c r="KA7" s="50"/>
      <c r="KB7" s="50" t="s">
        <v>217</v>
      </c>
      <c r="KC7" s="39" t="s">
        <v>218</v>
      </c>
      <c r="KD7" s="50"/>
      <c r="KE7" s="50"/>
      <c r="KF7" s="50"/>
      <c r="KG7" s="50" t="s">
        <v>219</v>
      </c>
      <c r="KH7" s="50" t="s">
        <v>220</v>
      </c>
      <c r="KI7" s="50"/>
      <c r="KJ7" s="50"/>
      <c r="KK7" s="50" t="s">
        <v>221</v>
      </c>
      <c r="KL7" s="50"/>
      <c r="KM7" s="39" t="s">
        <v>222</v>
      </c>
      <c r="KN7" s="39" t="s">
        <v>223</v>
      </c>
      <c r="KO7" s="50" t="s">
        <v>224</v>
      </c>
      <c r="KP7" s="50"/>
      <c r="KQ7" s="50"/>
      <c r="KR7" s="39" t="s">
        <v>220</v>
      </c>
      <c r="KS7" s="50"/>
      <c r="KT7" s="50" t="s">
        <v>225</v>
      </c>
      <c r="KU7" s="50" t="s">
        <v>226</v>
      </c>
      <c r="KV7" s="50" t="s">
        <v>227</v>
      </c>
      <c r="KW7" s="39" t="s">
        <v>228</v>
      </c>
      <c r="KX7" s="39" t="s">
        <v>229</v>
      </c>
      <c r="KY7" s="56" t="s">
        <v>230</v>
      </c>
      <c r="KZ7" s="56" t="s">
        <v>231</v>
      </c>
      <c r="LA7" s="39" t="s">
        <v>232</v>
      </c>
      <c r="LB7" s="46" t="s">
        <v>233</v>
      </c>
      <c r="LC7" s="48" t="s">
        <v>234</v>
      </c>
      <c r="LD7" s="48" t="s">
        <v>233</v>
      </c>
      <c r="LE7" s="48" t="s">
        <v>235</v>
      </c>
      <c r="LF7" s="46" t="s">
        <v>233</v>
      </c>
      <c r="LG7" s="56" t="s">
        <v>236</v>
      </c>
      <c r="LH7" s="56" t="s">
        <v>235</v>
      </c>
      <c r="LI7" s="46" t="s">
        <v>233</v>
      </c>
      <c r="LJ7" s="56" t="s">
        <v>236</v>
      </c>
      <c r="LK7" s="46" t="s">
        <v>233</v>
      </c>
      <c r="LL7" s="56" t="s">
        <v>237</v>
      </c>
      <c r="LM7" s="46" t="s">
        <v>233</v>
      </c>
      <c r="LN7" s="46" t="s">
        <v>238</v>
      </c>
      <c r="LO7" s="56" t="s">
        <v>239</v>
      </c>
      <c r="LP7" s="46" t="s">
        <v>240</v>
      </c>
      <c r="LQ7" s="56" t="s">
        <v>241</v>
      </c>
      <c r="LR7" s="50"/>
      <c r="LS7" s="50" t="s">
        <v>242</v>
      </c>
      <c r="LT7" s="50" t="s">
        <v>243</v>
      </c>
      <c r="LU7" s="50"/>
      <c r="LV7" s="39" t="s">
        <v>244</v>
      </c>
      <c r="LW7" s="56" t="s">
        <v>245</v>
      </c>
      <c r="LX7" s="50"/>
      <c r="LY7" s="50" t="s">
        <v>246</v>
      </c>
      <c r="LZ7" s="50" t="s">
        <v>247</v>
      </c>
      <c r="MA7" s="50"/>
      <c r="MB7" s="39" t="s">
        <v>248</v>
      </c>
      <c r="MC7" s="56" t="s">
        <v>249</v>
      </c>
      <c r="MD7" s="50"/>
      <c r="ME7" s="50" t="s">
        <v>250</v>
      </c>
      <c r="MF7" s="50" t="s">
        <v>251</v>
      </c>
      <c r="MG7" s="50"/>
      <c r="MH7" s="39" t="s">
        <v>252</v>
      </c>
      <c r="MI7" s="56" t="s">
        <v>253</v>
      </c>
      <c r="MJ7" s="50"/>
      <c r="MK7" s="50" t="s">
        <v>254</v>
      </c>
      <c r="ML7" s="50" t="s">
        <v>255</v>
      </c>
      <c r="MM7" s="50"/>
      <c r="MN7" s="39" t="s">
        <v>141</v>
      </c>
      <c r="MO7" s="56" t="s">
        <v>256</v>
      </c>
      <c r="MP7" s="39" t="s">
        <v>257</v>
      </c>
      <c r="MQ7" s="46" t="s">
        <v>258</v>
      </c>
      <c r="MR7" s="56" t="s">
        <v>259</v>
      </c>
      <c r="MS7" s="46" t="s">
        <v>258</v>
      </c>
      <c r="MT7" s="46" t="s">
        <v>260</v>
      </c>
      <c r="MU7" s="39" t="s">
        <v>261</v>
      </c>
      <c r="MV7" s="48" t="s">
        <v>262</v>
      </c>
      <c r="MW7" s="46" t="s">
        <v>260</v>
      </c>
      <c r="MX7" s="56" t="s">
        <v>263</v>
      </c>
      <c r="MY7" s="46" t="s">
        <v>260</v>
      </c>
      <c r="MZ7" s="56" t="s">
        <v>264</v>
      </c>
      <c r="NA7" s="46" t="s">
        <v>265</v>
      </c>
      <c r="NB7" s="39" t="s">
        <v>266</v>
      </c>
      <c r="NC7" s="48" t="s">
        <v>267</v>
      </c>
      <c r="ND7" s="46" t="s">
        <v>265</v>
      </c>
      <c r="NE7" s="56" t="s">
        <v>268</v>
      </c>
      <c r="NF7" s="46" t="s">
        <v>265</v>
      </c>
      <c r="NG7" s="56" t="s">
        <v>269</v>
      </c>
      <c r="NH7" s="46"/>
      <c r="NI7" s="46" t="s">
        <v>270</v>
      </c>
      <c r="NJ7" s="39" t="s">
        <v>271</v>
      </c>
      <c r="NK7" s="39" t="s">
        <v>272</v>
      </c>
      <c r="NL7" s="46" t="s">
        <v>270</v>
      </c>
      <c r="NM7" s="56" t="s">
        <v>273</v>
      </c>
      <c r="NN7" s="46" t="s">
        <v>270</v>
      </c>
      <c r="NO7" s="56" t="s">
        <v>274</v>
      </c>
      <c r="NP7" s="46" t="s">
        <v>275</v>
      </c>
      <c r="NQ7" s="39" t="s">
        <v>276</v>
      </c>
      <c r="NR7" s="39" t="s">
        <v>277</v>
      </c>
      <c r="NS7" s="46" t="s">
        <v>275</v>
      </c>
      <c r="NT7" s="56" t="s">
        <v>278</v>
      </c>
      <c r="NU7" s="46" t="s">
        <v>270</v>
      </c>
      <c r="NV7" s="56" t="s">
        <v>279</v>
      </c>
      <c r="NW7" s="46" t="s">
        <v>280</v>
      </c>
      <c r="NX7" s="39" t="s">
        <v>281</v>
      </c>
      <c r="NY7" s="39" t="s">
        <v>282</v>
      </c>
      <c r="NZ7" s="46" t="s">
        <v>283</v>
      </c>
      <c r="OA7" s="56" t="s">
        <v>284</v>
      </c>
      <c r="OB7" s="46" t="s">
        <v>283</v>
      </c>
      <c r="OC7" s="56" t="s">
        <v>285</v>
      </c>
      <c r="OD7" s="39" t="s">
        <v>286</v>
      </c>
      <c r="OE7" s="46" t="s">
        <v>287</v>
      </c>
      <c r="OF7" s="48" t="s">
        <v>288</v>
      </c>
      <c r="OG7" s="57" t="s">
        <v>100</v>
      </c>
      <c r="OH7" s="57" t="s">
        <v>101</v>
      </c>
      <c r="OI7" s="56" t="s">
        <v>289</v>
      </c>
      <c r="OJ7" s="46" t="s">
        <v>287</v>
      </c>
      <c r="OK7" s="56" t="s">
        <v>290</v>
      </c>
      <c r="OL7" s="46" t="s">
        <v>287</v>
      </c>
      <c r="OM7" s="46"/>
      <c r="ON7" s="54" t="s">
        <v>286</v>
      </c>
      <c r="OO7" s="46" t="s">
        <v>287</v>
      </c>
      <c r="OP7" s="58" t="s">
        <v>291</v>
      </c>
      <c r="OQ7" s="58" t="s">
        <v>287</v>
      </c>
      <c r="OR7" s="58"/>
      <c r="OS7" s="58"/>
      <c r="OT7" s="59" t="s">
        <v>286</v>
      </c>
      <c r="OU7" s="46" t="s">
        <v>287</v>
      </c>
      <c r="OV7" s="40" t="s">
        <v>292</v>
      </c>
      <c r="OW7" s="59" t="s">
        <v>292</v>
      </c>
      <c r="OX7" s="46" t="s">
        <v>287</v>
      </c>
      <c r="OY7" s="46" t="s">
        <v>287</v>
      </c>
      <c r="OZ7" s="46"/>
      <c r="PA7" s="46" t="s">
        <v>293</v>
      </c>
      <c r="PB7" s="39" t="s">
        <v>294</v>
      </c>
      <c r="PC7" s="39" t="s">
        <v>295</v>
      </c>
      <c r="PD7" s="46" t="s">
        <v>293</v>
      </c>
      <c r="PE7" s="56" t="s">
        <v>294</v>
      </c>
      <c r="PF7" s="50" t="s">
        <v>296</v>
      </c>
      <c r="PG7" s="46" t="s">
        <v>297</v>
      </c>
      <c r="PH7" s="56" t="s">
        <v>298</v>
      </c>
      <c r="PI7" s="46" t="s">
        <v>297</v>
      </c>
      <c r="PJ7" s="56" t="s">
        <v>299</v>
      </c>
      <c r="PK7" s="46" t="s">
        <v>297</v>
      </c>
      <c r="PL7" s="55"/>
      <c r="PM7" s="39" t="s">
        <v>300</v>
      </c>
      <c r="PN7" s="46" t="s">
        <v>301</v>
      </c>
      <c r="PO7" s="48" t="s">
        <v>302</v>
      </c>
      <c r="PP7" s="56" t="s">
        <v>303</v>
      </c>
      <c r="PQ7" s="46" t="s">
        <v>301</v>
      </c>
      <c r="PR7" s="56" t="s">
        <v>304</v>
      </c>
      <c r="PS7" s="46" t="s">
        <v>301</v>
      </c>
      <c r="PT7" s="50" t="s">
        <v>305</v>
      </c>
      <c r="PU7" s="46" t="s">
        <v>306</v>
      </c>
      <c r="PV7" s="56" t="s">
        <v>307</v>
      </c>
      <c r="PW7" s="46" t="s">
        <v>306</v>
      </c>
      <c r="PX7" s="56" t="s">
        <v>308</v>
      </c>
      <c r="PY7" s="46" t="s">
        <v>306</v>
      </c>
      <c r="PZ7" s="39" t="s">
        <v>309</v>
      </c>
      <c r="QA7" s="46" t="s">
        <v>310</v>
      </c>
      <c r="QB7" s="48" t="s">
        <v>311</v>
      </c>
      <c r="QC7" s="56" t="s">
        <v>312</v>
      </c>
      <c r="QD7" s="46" t="s">
        <v>310</v>
      </c>
      <c r="QE7" s="56" t="s">
        <v>313</v>
      </c>
      <c r="QF7" s="46" t="s">
        <v>310</v>
      </c>
      <c r="QG7" s="50" t="s">
        <v>296</v>
      </c>
      <c r="QH7" s="46" t="s">
        <v>314</v>
      </c>
      <c r="QI7" s="48" t="s">
        <v>315</v>
      </c>
      <c r="QJ7" s="50" t="s">
        <v>316</v>
      </c>
      <c r="QK7" s="50"/>
      <c r="QL7" s="50" t="s">
        <v>317</v>
      </c>
      <c r="QM7" s="50"/>
      <c r="QN7" s="50" t="s">
        <v>48</v>
      </c>
      <c r="QO7" s="50" t="s">
        <v>318</v>
      </c>
      <c r="QP7" s="50" t="s">
        <v>319</v>
      </c>
      <c r="QQ7" s="39" t="s">
        <v>320</v>
      </c>
      <c r="QR7" s="39" t="s">
        <v>320</v>
      </c>
      <c r="QS7" s="39"/>
      <c r="QT7" s="50"/>
      <c r="QU7" s="50"/>
      <c r="QV7" s="50"/>
      <c r="QW7" s="50" t="s">
        <v>321</v>
      </c>
      <c r="QX7" s="50" t="s">
        <v>322</v>
      </c>
      <c r="QY7" s="50"/>
      <c r="QZ7" s="50"/>
      <c r="RA7" s="50"/>
      <c r="RB7" s="39" t="s">
        <v>323</v>
      </c>
      <c r="RC7" s="39" t="s">
        <v>324</v>
      </c>
      <c r="RD7" s="40" t="s">
        <v>314</v>
      </c>
      <c r="RE7" s="56" t="s">
        <v>298</v>
      </c>
      <c r="RF7" s="46" t="s">
        <v>314</v>
      </c>
      <c r="RG7" s="56" t="s">
        <v>105</v>
      </c>
      <c r="RH7" s="56" t="s">
        <v>299</v>
      </c>
      <c r="RI7" s="46" t="s">
        <v>314</v>
      </c>
      <c r="RJ7" s="55"/>
      <c r="RK7" s="55"/>
      <c r="RL7" s="55"/>
      <c r="RM7" s="56" t="s">
        <v>325</v>
      </c>
      <c r="RN7" s="50" t="s">
        <v>326</v>
      </c>
      <c r="RO7" s="50"/>
      <c r="RP7" s="60"/>
      <c r="RQ7" s="61" t="s">
        <v>327</v>
      </c>
      <c r="RR7" s="60" t="s">
        <v>328</v>
      </c>
      <c r="RS7" s="60" t="s">
        <v>329</v>
      </c>
      <c r="RT7" s="50" t="s">
        <v>330</v>
      </c>
      <c r="RU7" s="50" t="s">
        <v>331</v>
      </c>
      <c r="RV7" s="50"/>
      <c r="RW7" s="50" t="s">
        <v>332</v>
      </c>
      <c r="RX7" s="39" t="s">
        <v>333</v>
      </c>
      <c r="RY7" s="39" t="s">
        <v>331</v>
      </c>
      <c r="RZ7" s="60" t="s">
        <v>334</v>
      </c>
      <c r="SA7" s="60" t="s">
        <v>335</v>
      </c>
      <c r="SB7" s="60" t="s">
        <v>335</v>
      </c>
      <c r="SC7" s="60" t="s">
        <v>336</v>
      </c>
      <c r="SD7" s="50" t="s">
        <v>334</v>
      </c>
      <c r="SE7" s="39"/>
      <c r="SF7" s="39" t="s">
        <v>334</v>
      </c>
      <c r="SG7" s="39" t="s">
        <v>337</v>
      </c>
      <c r="SH7" s="39" t="s">
        <v>338</v>
      </c>
      <c r="SI7" s="50"/>
      <c r="SJ7" s="50"/>
      <c r="SK7" s="50"/>
      <c r="SL7" s="50"/>
      <c r="SM7" s="50"/>
      <c r="SN7" s="60" t="s">
        <v>339</v>
      </c>
      <c r="SO7" s="62" t="s">
        <v>340</v>
      </c>
      <c r="SP7" s="39" t="s">
        <v>323</v>
      </c>
      <c r="SQ7" s="39" t="s">
        <v>341</v>
      </c>
      <c r="SR7" s="39"/>
      <c r="SS7" s="39"/>
      <c r="ST7" s="39" t="s">
        <v>342</v>
      </c>
      <c r="SU7" s="39" t="s">
        <v>343</v>
      </c>
      <c r="SV7" s="39"/>
      <c r="SW7" s="39"/>
      <c r="SX7" s="39" t="s">
        <v>344</v>
      </c>
      <c r="SY7" s="39" t="s">
        <v>343</v>
      </c>
      <c r="SZ7" s="39"/>
      <c r="TA7" s="39"/>
      <c r="TB7" s="39"/>
      <c r="TC7" s="50" t="s">
        <v>345</v>
      </c>
      <c r="TD7" s="50" t="s">
        <v>346</v>
      </c>
      <c r="TE7" s="50" t="s">
        <v>347</v>
      </c>
      <c r="TF7" s="50"/>
      <c r="TG7" s="50" t="s">
        <v>348</v>
      </c>
      <c r="TH7" s="63"/>
      <c r="TI7" s="63" t="s">
        <v>349</v>
      </c>
      <c r="TJ7" s="63"/>
      <c r="TK7" s="63" t="s">
        <v>350</v>
      </c>
      <c r="TL7" s="63" t="s">
        <v>351</v>
      </c>
      <c r="TM7" s="63" t="s">
        <v>352</v>
      </c>
      <c r="TN7" s="63" t="s">
        <v>353</v>
      </c>
      <c r="TO7" s="63" t="s">
        <v>354</v>
      </c>
      <c r="TP7" s="63"/>
      <c r="TQ7" s="63"/>
      <c r="TR7" s="45"/>
      <c r="TS7" s="45"/>
      <c r="TT7" s="45"/>
      <c r="TU7" s="45"/>
      <c r="TV7" s="64"/>
      <c r="TW7" s="64"/>
      <c r="TX7" s="64"/>
      <c r="TY7" s="64"/>
      <c r="TZ7" s="64"/>
      <c r="UA7" s="64"/>
      <c r="UB7" s="65" t="s">
        <v>355</v>
      </c>
      <c r="UC7" s="65" t="s">
        <v>356</v>
      </c>
      <c r="UD7" s="65" t="s">
        <v>357</v>
      </c>
      <c r="UE7" s="65" t="s">
        <v>358</v>
      </c>
      <c r="UF7" s="65" t="s">
        <v>359</v>
      </c>
      <c r="UG7" s="65" t="s">
        <v>360</v>
      </c>
      <c r="UH7" s="65" t="s">
        <v>361</v>
      </c>
      <c r="UI7" s="65" t="s">
        <v>362</v>
      </c>
      <c r="UJ7" s="65" t="s">
        <v>363</v>
      </c>
      <c r="UK7" s="65" t="s">
        <v>364</v>
      </c>
      <c r="UL7" s="65" t="s">
        <v>365</v>
      </c>
      <c r="UN7" s="65" t="s">
        <v>366</v>
      </c>
      <c r="UO7" s="40" t="s">
        <v>367</v>
      </c>
      <c r="UP7" s="65" t="s">
        <v>368</v>
      </c>
      <c r="UQ7" s="43" t="s">
        <v>367</v>
      </c>
      <c r="UR7" s="60"/>
      <c r="US7" s="56" t="s">
        <v>328</v>
      </c>
      <c r="UT7" s="39"/>
      <c r="UU7" s="56" t="s">
        <v>369</v>
      </c>
      <c r="UV7" s="60"/>
      <c r="UW7" s="141"/>
      <c r="UX7" s="40" t="s">
        <v>343</v>
      </c>
      <c r="UY7" s="40" t="s">
        <v>370</v>
      </c>
      <c r="UZ7" s="66" t="s">
        <v>343</v>
      </c>
      <c r="VA7" s="40" t="s">
        <v>371</v>
      </c>
      <c r="VB7" s="40" t="s">
        <v>372</v>
      </c>
      <c r="VC7" s="40" t="s">
        <v>373</v>
      </c>
      <c r="VD7" s="40" t="s">
        <v>374</v>
      </c>
      <c r="VE7" s="40" t="s">
        <v>375</v>
      </c>
      <c r="VF7" s="40" t="s">
        <v>376</v>
      </c>
      <c r="VG7" s="40" t="s">
        <v>377</v>
      </c>
      <c r="VH7" s="40" t="s">
        <v>378</v>
      </c>
      <c r="VI7" s="40" t="s">
        <v>254</v>
      </c>
      <c r="VJ7" s="40" t="s">
        <v>379</v>
      </c>
      <c r="VK7" s="141"/>
      <c r="VL7" s="141"/>
      <c r="VM7" s="141"/>
      <c r="VN7" s="141"/>
      <c r="VO7" s="140"/>
      <c r="VP7" s="67"/>
      <c r="VQ7" s="67"/>
      <c r="VR7" s="140"/>
      <c r="VS7" s="140"/>
      <c r="VT7" s="40"/>
      <c r="VU7" s="40"/>
      <c r="VV7" s="40"/>
      <c r="VW7" s="141"/>
      <c r="VX7" s="141"/>
      <c r="VY7" s="145"/>
      <c r="VZ7" s="40"/>
      <c r="WA7" s="140"/>
      <c r="WB7" s="140"/>
      <c r="WC7" s="141"/>
      <c r="WD7" s="68"/>
      <c r="WE7" s="158"/>
      <c r="WF7" s="39"/>
      <c r="WG7" s="50" t="s">
        <v>380</v>
      </c>
      <c r="WH7" s="50" t="s">
        <v>381</v>
      </c>
      <c r="WI7" s="50" t="s">
        <v>382</v>
      </c>
      <c r="WJ7" s="50" t="s">
        <v>383</v>
      </c>
      <c r="WK7" s="40" t="s">
        <v>286</v>
      </c>
      <c r="WL7" s="40" t="s">
        <v>287</v>
      </c>
      <c r="WM7" s="39" t="s">
        <v>286</v>
      </c>
      <c r="WN7" s="46" t="s">
        <v>287</v>
      </c>
      <c r="WO7" s="67"/>
      <c r="WP7" s="140"/>
      <c r="WQ7" s="141"/>
      <c r="WR7" s="140"/>
      <c r="WS7" s="140"/>
      <c r="WT7" s="140"/>
      <c r="WU7" s="67" t="s">
        <v>296</v>
      </c>
      <c r="WV7" s="67"/>
      <c r="WW7" s="40"/>
      <c r="WX7" s="40"/>
      <c r="WY7" s="40"/>
      <c r="WZ7" s="45" t="s">
        <v>384</v>
      </c>
      <c r="XA7" s="45" t="s">
        <v>385</v>
      </c>
      <c r="XB7" s="69" t="s">
        <v>46</v>
      </c>
      <c r="XF7" s="138"/>
      <c r="XG7" s="138"/>
      <c r="XH7" s="47" t="s">
        <v>386</v>
      </c>
      <c r="XI7" s="45" t="s">
        <v>387</v>
      </c>
      <c r="XJ7" s="45" t="s">
        <v>388</v>
      </c>
      <c r="XK7" s="45" t="s">
        <v>389</v>
      </c>
      <c r="XL7" s="64" t="s">
        <v>351</v>
      </c>
      <c r="XM7" s="148"/>
      <c r="XN7" s="70" t="s">
        <v>390</v>
      </c>
      <c r="XO7" s="65" t="s">
        <v>51</v>
      </c>
      <c r="XP7" s="65" t="s">
        <v>51</v>
      </c>
      <c r="XQ7" s="65" t="s">
        <v>390</v>
      </c>
      <c r="XR7" s="71"/>
      <c r="XS7" s="148"/>
      <c r="XT7" s="155"/>
      <c r="XU7" s="148"/>
      <c r="XV7" s="155"/>
      <c r="XW7" s="72" t="s">
        <v>391</v>
      </c>
      <c r="XX7" s="72" t="s">
        <v>373</v>
      </c>
      <c r="XY7" s="137"/>
      <c r="XZ7" s="72" t="s">
        <v>392</v>
      </c>
      <c r="YA7" s="72" t="s">
        <v>349</v>
      </c>
      <c r="YB7" s="72" t="s">
        <v>374</v>
      </c>
      <c r="YC7" s="72" t="s">
        <v>393</v>
      </c>
      <c r="YD7" s="72" t="s">
        <v>394</v>
      </c>
      <c r="YE7" s="148"/>
      <c r="YF7" s="148"/>
      <c r="YG7" s="148"/>
      <c r="YI7" s="65" t="s">
        <v>395</v>
      </c>
      <c r="YK7" s="40" t="s">
        <v>396</v>
      </c>
      <c r="YL7" s="40" t="s">
        <v>371</v>
      </c>
      <c r="YM7" s="40" t="s">
        <v>372</v>
      </c>
      <c r="YN7" s="40" t="s">
        <v>44</v>
      </c>
      <c r="YO7" s="40" t="s">
        <v>397</v>
      </c>
      <c r="YP7" s="40" t="s">
        <v>376</v>
      </c>
      <c r="YQ7" s="40" t="s">
        <v>38</v>
      </c>
      <c r="YR7" s="40" t="s">
        <v>17</v>
      </c>
      <c r="YY7" s="141"/>
      <c r="YZ7" s="40" t="s">
        <v>343</v>
      </c>
      <c r="ZA7" s="40" t="s">
        <v>371</v>
      </c>
      <c r="ZB7" s="40" t="s">
        <v>372</v>
      </c>
      <c r="ZC7" s="40" t="s">
        <v>373</v>
      </c>
      <c r="ZD7" s="40" t="s">
        <v>374</v>
      </c>
      <c r="ZE7" s="40" t="s">
        <v>375</v>
      </c>
      <c r="ZF7" s="40" t="s">
        <v>376</v>
      </c>
      <c r="ZG7" s="40" t="s">
        <v>377</v>
      </c>
      <c r="ZH7" s="40" t="s">
        <v>378</v>
      </c>
      <c r="ZI7" s="40" t="s">
        <v>254</v>
      </c>
      <c r="ZJ7" s="40" t="s">
        <v>379</v>
      </c>
      <c r="ZK7" s="40" t="s">
        <v>398</v>
      </c>
      <c r="ZL7" s="140"/>
      <c r="ZM7" s="141"/>
      <c r="ZN7" s="147"/>
      <c r="ZO7" s="147"/>
      <c r="ZP7" s="141"/>
      <c r="ZQ7" s="141"/>
      <c r="ZR7" s="140"/>
      <c r="ZS7" s="67"/>
      <c r="ZT7" s="67"/>
      <c r="ZU7" s="140"/>
      <c r="ZV7" s="140"/>
      <c r="ZW7" s="40"/>
      <c r="ZX7" s="40"/>
      <c r="ZY7" s="40"/>
      <c r="ZZ7" s="141"/>
      <c r="AAA7" s="141"/>
      <c r="AAB7" s="145"/>
      <c r="AAC7" s="40"/>
      <c r="AAD7" s="140"/>
      <c r="AAE7" s="140"/>
      <c r="AAF7" s="140"/>
      <c r="AAG7" s="146"/>
      <c r="AAH7" s="140"/>
      <c r="AAI7" s="151"/>
      <c r="AAJ7" s="158"/>
      <c r="AAK7" s="1" t="s">
        <v>314</v>
      </c>
      <c r="AAM7" s="148"/>
      <c r="AAN7" s="148"/>
      <c r="AAO7" s="141"/>
      <c r="AAP7" s="53" t="s">
        <v>399</v>
      </c>
      <c r="AAQ7" s="40" t="s">
        <v>343</v>
      </c>
      <c r="AAR7" s="53" t="s">
        <v>400</v>
      </c>
      <c r="AAS7" s="40" t="s">
        <v>371</v>
      </c>
      <c r="AAT7" s="40" t="s">
        <v>64</v>
      </c>
      <c r="AAU7" s="53" t="s">
        <v>401</v>
      </c>
      <c r="AAV7" s="40" t="s">
        <v>402</v>
      </c>
      <c r="AAW7" s="40" t="s">
        <v>64</v>
      </c>
      <c r="AAX7" s="40" t="s">
        <v>403</v>
      </c>
      <c r="AAY7" s="40" t="s">
        <v>373</v>
      </c>
      <c r="AAZ7" s="40" t="s">
        <v>404</v>
      </c>
      <c r="ABA7" s="40" t="s">
        <v>374</v>
      </c>
      <c r="ABB7" s="40" t="s">
        <v>393</v>
      </c>
      <c r="ABC7" s="53" t="s">
        <v>405</v>
      </c>
      <c r="ABD7" s="40" t="s">
        <v>376</v>
      </c>
      <c r="ABE7" s="40" t="s">
        <v>390</v>
      </c>
      <c r="ABF7" s="53" t="s">
        <v>406</v>
      </c>
      <c r="ABG7" s="40" t="s">
        <v>377</v>
      </c>
      <c r="ABH7" s="40" t="s">
        <v>64</v>
      </c>
      <c r="ABI7" s="40" t="s">
        <v>378</v>
      </c>
      <c r="ABJ7" s="40" t="s">
        <v>254</v>
      </c>
      <c r="ABK7" s="53" t="s">
        <v>407</v>
      </c>
      <c r="ABL7" s="40" t="s">
        <v>379</v>
      </c>
      <c r="ABM7" s="40" t="s">
        <v>398</v>
      </c>
      <c r="ABN7" s="141"/>
      <c r="ABO7" s="143"/>
      <c r="ABP7" s="141"/>
      <c r="ABQ7" s="140"/>
      <c r="ABR7" s="147"/>
      <c r="ABS7" s="147"/>
      <c r="ABT7" s="143"/>
      <c r="ABU7" s="141"/>
      <c r="ABV7" s="140"/>
      <c r="ABW7" s="141"/>
      <c r="ABX7" s="141"/>
      <c r="ABY7" s="40"/>
      <c r="ABZ7" s="40"/>
      <c r="ACA7" s="141"/>
      <c r="ACB7" s="141"/>
      <c r="ACC7" s="40"/>
      <c r="ACD7" s="40"/>
      <c r="ACE7" s="40"/>
      <c r="ACF7" s="143"/>
      <c r="ACG7" s="141"/>
      <c r="ACH7" s="140"/>
      <c r="ACI7" s="141"/>
      <c r="ACJ7" s="145"/>
      <c r="ACK7" s="40"/>
      <c r="ACL7" s="140"/>
      <c r="ACM7" s="140"/>
      <c r="ACN7" s="146"/>
      <c r="ACO7" s="140"/>
      <c r="ACP7" s="140"/>
      <c r="ACQ7" s="141"/>
      <c r="ACR7" s="141"/>
      <c r="ACS7" s="141"/>
      <c r="ACT7" s="141"/>
      <c r="ACU7" s="142"/>
      <c r="ACV7" s="143"/>
      <c r="ACX7" s="148"/>
      <c r="ACY7" s="159"/>
      <c r="ACZ7" s="47" t="s">
        <v>70</v>
      </c>
      <c r="ADB7" s="148"/>
      <c r="ADC7" s="155"/>
      <c r="ADD7" s="148"/>
      <c r="ADE7" s="155"/>
      <c r="ADF7" s="72" t="s">
        <v>391</v>
      </c>
      <c r="ADG7" s="72" t="s">
        <v>403</v>
      </c>
      <c r="ADH7" s="72" t="s">
        <v>373</v>
      </c>
      <c r="ADI7" s="72" t="s">
        <v>404</v>
      </c>
      <c r="ADJ7" s="137"/>
      <c r="ADK7" s="72" t="s">
        <v>392</v>
      </c>
      <c r="ADL7" s="72" t="s">
        <v>349</v>
      </c>
      <c r="ADM7" s="72" t="s">
        <v>374</v>
      </c>
      <c r="ADN7" s="72" t="s">
        <v>393</v>
      </c>
      <c r="ADO7" s="72" t="s">
        <v>394</v>
      </c>
      <c r="ADP7" s="148"/>
      <c r="ADQ7" s="148"/>
      <c r="ADR7" s="148"/>
      <c r="ADU7" s="40" t="s">
        <v>396</v>
      </c>
      <c r="ADV7" s="40" t="s">
        <v>371</v>
      </c>
      <c r="ADW7" s="40" t="s">
        <v>408</v>
      </c>
      <c r="ADX7" s="40" t="s">
        <v>44</v>
      </c>
      <c r="ADY7" s="40" t="s">
        <v>397</v>
      </c>
      <c r="ADZ7" s="40" t="s">
        <v>376</v>
      </c>
      <c r="AEA7" s="40" t="s">
        <v>38</v>
      </c>
      <c r="AEB7" s="40" t="s">
        <v>17</v>
      </c>
      <c r="AEG7" s="73"/>
      <c r="AEH7" s="73" t="s">
        <v>343</v>
      </c>
      <c r="AEI7" s="73" t="s">
        <v>371</v>
      </c>
      <c r="AEJ7" s="73" t="s">
        <v>402</v>
      </c>
      <c r="AEK7" s="73" t="s">
        <v>403</v>
      </c>
      <c r="AEL7" s="73" t="s">
        <v>373</v>
      </c>
      <c r="AEM7" s="73" t="s">
        <v>404</v>
      </c>
      <c r="AEN7" s="73" t="s">
        <v>374</v>
      </c>
      <c r="AEO7" s="73" t="s">
        <v>393</v>
      </c>
      <c r="AEP7" s="73" t="s">
        <v>376</v>
      </c>
      <c r="AEQ7" s="73" t="s">
        <v>377</v>
      </c>
      <c r="AER7" s="73" t="s">
        <v>378</v>
      </c>
      <c r="AES7" s="73" t="s">
        <v>254</v>
      </c>
      <c r="AET7" s="73" t="s">
        <v>379</v>
      </c>
      <c r="AEU7" s="73" t="s">
        <v>398</v>
      </c>
      <c r="AEV7" s="73"/>
      <c r="AEW7" s="73"/>
      <c r="AEX7" s="73"/>
      <c r="AEY7" s="73"/>
      <c r="AEZ7" s="73"/>
      <c r="AFA7" s="73"/>
      <c r="AFB7" s="73"/>
      <c r="AFC7" s="73"/>
      <c r="AFD7" s="73"/>
      <c r="AFE7" s="73"/>
      <c r="AFF7" s="73"/>
      <c r="AFG7" s="73"/>
      <c r="AFH7" s="73"/>
      <c r="AFI7" s="73"/>
      <c r="AFJ7" s="73"/>
      <c r="AFK7" s="73"/>
      <c r="AFL7" s="73"/>
      <c r="AFM7" s="73"/>
      <c r="AFN7" s="73"/>
      <c r="AFO7" s="73"/>
      <c r="AFP7" s="73"/>
      <c r="AFQ7" s="73" t="s">
        <v>314</v>
      </c>
      <c r="AFR7" s="73"/>
      <c r="AFS7" s="73"/>
      <c r="AFT7" s="73"/>
      <c r="AFX7" s="1" t="s">
        <v>314</v>
      </c>
    </row>
    <row r="8" spans="1:856" s="1" customFormat="1" ht="15.75">
      <c r="A8" s="28">
        <v>1</v>
      </c>
      <c r="B8" s="28"/>
      <c r="C8" s="74">
        <v>2</v>
      </c>
      <c r="D8" s="28"/>
      <c r="E8" s="75">
        <v>4</v>
      </c>
      <c r="F8" s="75">
        <v>5</v>
      </c>
      <c r="G8" s="76"/>
      <c r="I8" s="75"/>
      <c r="J8" s="75">
        <v>7</v>
      </c>
      <c r="K8" s="75">
        <v>8</v>
      </c>
      <c r="L8" s="75"/>
      <c r="M8" s="75"/>
      <c r="N8" s="75"/>
      <c r="O8" s="75"/>
      <c r="P8" s="75"/>
      <c r="Q8" s="75"/>
      <c r="R8" s="75"/>
      <c r="S8" s="75">
        <v>9</v>
      </c>
      <c r="T8" s="28"/>
      <c r="U8" s="28"/>
      <c r="V8" s="28"/>
      <c r="W8" s="28"/>
      <c r="X8" s="28"/>
      <c r="Y8" s="28"/>
      <c r="Z8" s="28"/>
      <c r="AA8" s="28"/>
      <c r="AB8" s="28"/>
      <c r="AC8" s="28">
        <v>10</v>
      </c>
      <c r="AD8" s="28"/>
      <c r="AE8" s="77"/>
      <c r="AF8" s="28"/>
      <c r="AG8" s="28"/>
      <c r="AH8" s="28">
        <v>10</v>
      </c>
      <c r="AI8" s="28"/>
      <c r="AJ8" s="28">
        <v>11</v>
      </c>
      <c r="AK8" s="28">
        <v>12</v>
      </c>
      <c r="AL8" s="28">
        <v>13</v>
      </c>
      <c r="AM8" s="28">
        <v>14</v>
      </c>
      <c r="AN8" s="28"/>
      <c r="AO8" s="28"/>
      <c r="AP8" s="28"/>
      <c r="AQ8" s="28"/>
      <c r="AR8" s="28"/>
      <c r="AS8" s="28">
        <v>10</v>
      </c>
      <c r="AT8" s="28"/>
      <c r="AU8" s="28"/>
      <c r="AV8" s="28">
        <v>11</v>
      </c>
      <c r="AW8" s="28">
        <v>12</v>
      </c>
      <c r="AX8" s="28">
        <v>13</v>
      </c>
      <c r="AY8" s="28"/>
      <c r="AZ8" s="28"/>
      <c r="BA8" s="28"/>
      <c r="BB8" s="28">
        <v>13</v>
      </c>
      <c r="BC8" s="28"/>
      <c r="BD8" s="77"/>
      <c r="BE8" s="28"/>
      <c r="BF8" s="28"/>
      <c r="BG8" s="28"/>
      <c r="BH8" s="28">
        <v>12</v>
      </c>
      <c r="BI8" s="28"/>
      <c r="BJ8" s="28"/>
      <c r="BK8" s="28">
        <v>12</v>
      </c>
      <c r="BL8" s="28"/>
      <c r="BM8" s="28"/>
      <c r="BN8" s="28"/>
      <c r="BO8" s="28">
        <v>12</v>
      </c>
      <c r="BP8" s="28"/>
      <c r="BQ8" s="28"/>
      <c r="BR8" s="28"/>
      <c r="BS8" s="28">
        <v>12</v>
      </c>
      <c r="BT8" s="28"/>
      <c r="BU8" s="28"/>
      <c r="BV8" s="28"/>
      <c r="BW8" s="28">
        <v>3</v>
      </c>
      <c r="BX8" s="28">
        <v>3</v>
      </c>
      <c r="BY8" s="28"/>
      <c r="BZ8" s="28"/>
      <c r="CA8" s="28"/>
      <c r="CB8" s="28">
        <v>4</v>
      </c>
      <c r="CC8" s="28"/>
      <c r="CD8" s="28"/>
      <c r="CE8" s="28">
        <v>9</v>
      </c>
      <c r="CF8" s="28">
        <v>10</v>
      </c>
      <c r="CG8" s="28">
        <v>10</v>
      </c>
      <c r="CH8" s="28">
        <v>10</v>
      </c>
      <c r="CI8" s="28">
        <v>14</v>
      </c>
      <c r="CJ8" s="28"/>
      <c r="CK8" s="28">
        <v>15</v>
      </c>
      <c r="CL8" s="28"/>
      <c r="CM8" s="28"/>
      <c r="CN8" s="28">
        <v>5</v>
      </c>
      <c r="CO8" s="28">
        <v>3</v>
      </c>
      <c r="CP8" s="28"/>
      <c r="CQ8" s="28"/>
      <c r="CR8" s="28">
        <v>6</v>
      </c>
      <c r="CS8" s="28"/>
      <c r="CT8" s="28"/>
      <c r="CU8" s="28">
        <v>11</v>
      </c>
      <c r="CV8" s="28">
        <v>11</v>
      </c>
      <c r="CW8" s="28">
        <v>10</v>
      </c>
      <c r="CX8" s="28">
        <v>16</v>
      </c>
      <c r="CY8" s="28"/>
      <c r="CZ8" s="28">
        <v>17</v>
      </c>
      <c r="DA8" s="28"/>
      <c r="DB8" s="28"/>
      <c r="DC8" s="28">
        <v>7</v>
      </c>
      <c r="DD8" s="28">
        <v>3</v>
      </c>
      <c r="DE8" s="28"/>
      <c r="DF8" s="28"/>
      <c r="DG8" s="28"/>
      <c r="DH8" s="28">
        <v>8</v>
      </c>
      <c r="DI8" s="28"/>
      <c r="DJ8" s="28"/>
      <c r="DK8" s="28">
        <v>13</v>
      </c>
      <c r="DL8" s="28">
        <v>13</v>
      </c>
      <c r="DM8" s="28">
        <v>10</v>
      </c>
      <c r="DN8" s="28">
        <v>18</v>
      </c>
      <c r="DO8" s="28"/>
      <c r="DP8" s="28">
        <v>19</v>
      </c>
      <c r="DQ8" s="28"/>
      <c r="DR8" s="28"/>
      <c r="DS8" s="28">
        <v>9</v>
      </c>
      <c r="DT8" s="28">
        <v>3</v>
      </c>
      <c r="DU8" s="28"/>
      <c r="DV8" s="28"/>
      <c r="DW8" s="28">
        <v>10</v>
      </c>
      <c r="DX8" s="28"/>
      <c r="DY8" s="28"/>
      <c r="DZ8" s="28">
        <v>15</v>
      </c>
      <c r="EA8" s="28">
        <v>10</v>
      </c>
      <c r="EB8" s="28">
        <v>20</v>
      </c>
      <c r="EC8" s="28"/>
      <c r="ED8" s="28">
        <v>21</v>
      </c>
      <c r="EE8" s="28"/>
      <c r="EF8" s="28"/>
      <c r="EG8" s="28">
        <v>11</v>
      </c>
      <c r="EH8" s="28">
        <v>3</v>
      </c>
      <c r="EI8" s="28"/>
      <c r="EJ8" s="28"/>
      <c r="EK8" s="28">
        <v>12</v>
      </c>
      <c r="EL8" s="28"/>
      <c r="EM8" s="28"/>
      <c r="EN8" s="28">
        <v>17</v>
      </c>
      <c r="EO8" s="28">
        <v>10</v>
      </c>
      <c r="EP8" s="28">
        <v>10</v>
      </c>
      <c r="EQ8" s="28">
        <v>22</v>
      </c>
      <c r="ER8" s="28"/>
      <c r="ES8" s="28">
        <v>23</v>
      </c>
      <c r="ET8" s="28"/>
      <c r="EU8" s="28"/>
      <c r="EV8" s="28">
        <v>13</v>
      </c>
      <c r="EW8" s="28">
        <v>3</v>
      </c>
      <c r="EX8" s="28"/>
      <c r="EY8" s="28"/>
      <c r="EZ8" s="28">
        <v>14</v>
      </c>
      <c r="FA8" s="28"/>
      <c r="FB8" s="28"/>
      <c r="FC8" s="28">
        <v>19</v>
      </c>
      <c r="FD8" s="28">
        <v>10</v>
      </c>
      <c r="FE8" s="28">
        <v>10</v>
      </c>
      <c r="FF8" s="28">
        <v>24</v>
      </c>
      <c r="FG8" s="28"/>
      <c r="FH8" s="28">
        <v>25</v>
      </c>
      <c r="FI8" s="28"/>
      <c r="FJ8" s="28"/>
      <c r="FK8" s="28">
        <v>15</v>
      </c>
      <c r="FL8" s="28">
        <v>3</v>
      </c>
      <c r="FM8" s="28"/>
      <c r="FN8" s="28"/>
      <c r="FO8" s="28">
        <v>16</v>
      </c>
      <c r="FP8" s="28"/>
      <c r="FQ8" s="28"/>
      <c r="FR8" s="28">
        <v>21</v>
      </c>
      <c r="FS8" s="28">
        <v>10</v>
      </c>
      <c r="FT8" s="28">
        <v>10</v>
      </c>
      <c r="FU8" s="28">
        <v>10</v>
      </c>
      <c r="FV8" s="28">
        <v>10</v>
      </c>
      <c r="FW8" s="28">
        <v>26</v>
      </c>
      <c r="FX8" s="28"/>
      <c r="FY8" s="28">
        <v>27</v>
      </c>
      <c r="FZ8" s="28"/>
      <c r="GA8" s="28"/>
      <c r="GB8" s="28">
        <v>17</v>
      </c>
      <c r="GC8" s="28">
        <v>3</v>
      </c>
      <c r="GD8" s="28"/>
      <c r="GE8" s="28"/>
      <c r="GF8" s="28">
        <v>18</v>
      </c>
      <c r="GG8" s="28"/>
      <c r="GH8" s="28"/>
      <c r="GI8" s="28">
        <v>23</v>
      </c>
      <c r="GJ8" s="28">
        <v>10</v>
      </c>
      <c r="GK8" s="28">
        <v>28</v>
      </c>
      <c r="GL8" s="28"/>
      <c r="GM8" s="28">
        <v>29</v>
      </c>
      <c r="GN8" s="28"/>
      <c r="GO8" s="28">
        <v>30</v>
      </c>
      <c r="GP8" s="28">
        <v>30</v>
      </c>
      <c r="GQ8" s="28">
        <v>30</v>
      </c>
      <c r="GR8" s="28">
        <v>30</v>
      </c>
      <c r="GS8" s="28">
        <v>30</v>
      </c>
      <c r="GT8" s="28"/>
      <c r="GU8" s="28">
        <v>31</v>
      </c>
      <c r="GV8" s="28">
        <v>31</v>
      </c>
      <c r="GW8" s="28">
        <v>31</v>
      </c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>
        <v>10</v>
      </c>
      <c r="HL8" s="28">
        <v>10</v>
      </c>
      <c r="HM8" s="28"/>
      <c r="HN8" s="28">
        <v>32</v>
      </c>
      <c r="HO8" s="28"/>
      <c r="HP8" s="28">
        <v>33</v>
      </c>
      <c r="HQ8" s="28"/>
      <c r="HR8" s="28"/>
      <c r="HS8" s="28"/>
      <c r="HT8" s="28"/>
      <c r="HU8" s="28"/>
      <c r="HV8" s="28"/>
      <c r="HW8" s="28"/>
      <c r="HX8" s="28"/>
      <c r="HY8" s="78"/>
      <c r="HZ8" s="28"/>
      <c r="IA8" s="28"/>
      <c r="IB8" s="28"/>
      <c r="IC8" s="28">
        <v>10</v>
      </c>
      <c r="ID8" s="28"/>
      <c r="IE8" s="28">
        <v>34</v>
      </c>
      <c r="IF8" s="28"/>
      <c r="IG8" s="77"/>
      <c r="IH8" s="28"/>
      <c r="II8" s="28"/>
      <c r="IJ8" s="28">
        <v>35</v>
      </c>
      <c r="IK8" s="28"/>
      <c r="IL8" s="28"/>
      <c r="IM8" s="28"/>
      <c r="IN8" s="28"/>
      <c r="IO8" s="28"/>
      <c r="IP8" s="28"/>
      <c r="IQ8" s="28">
        <v>26</v>
      </c>
      <c r="IR8" s="28">
        <v>3</v>
      </c>
      <c r="IS8" s="28"/>
      <c r="IT8" s="28"/>
      <c r="IU8" s="28"/>
      <c r="IV8" s="28"/>
      <c r="IW8" s="28"/>
      <c r="IX8" s="28">
        <v>27</v>
      </c>
      <c r="IY8" s="28"/>
      <c r="IZ8" s="28">
        <v>32</v>
      </c>
      <c r="JA8" s="28">
        <v>10</v>
      </c>
      <c r="JB8" s="28">
        <v>36</v>
      </c>
      <c r="JC8" s="28"/>
      <c r="JD8" s="28">
        <v>37</v>
      </c>
      <c r="JE8" s="28"/>
      <c r="JF8" s="28"/>
      <c r="JG8" s="28">
        <v>28</v>
      </c>
      <c r="JH8" s="28">
        <v>3</v>
      </c>
      <c r="JI8" s="28"/>
      <c r="JJ8" s="28"/>
      <c r="JK8" s="28"/>
      <c r="JL8" s="28">
        <v>29</v>
      </c>
      <c r="JM8" s="28"/>
      <c r="JN8" s="28">
        <v>34</v>
      </c>
      <c r="JO8" s="28">
        <v>10</v>
      </c>
      <c r="JP8" s="28">
        <v>38</v>
      </c>
      <c r="JQ8" s="28"/>
      <c r="JR8" s="28">
        <v>39</v>
      </c>
      <c r="JS8" s="28"/>
      <c r="JT8" s="28"/>
      <c r="JU8" s="28">
        <v>36</v>
      </c>
      <c r="JV8" s="28">
        <v>10</v>
      </c>
      <c r="JW8" s="28">
        <v>40</v>
      </c>
      <c r="JX8" s="28"/>
      <c r="JY8" s="28">
        <v>41</v>
      </c>
      <c r="JZ8" s="28"/>
      <c r="KA8" s="28"/>
      <c r="KB8" s="28">
        <v>31</v>
      </c>
      <c r="KC8" s="28"/>
      <c r="KD8" s="28"/>
      <c r="KE8" s="28"/>
      <c r="KF8" s="28"/>
      <c r="KG8" s="28">
        <v>29</v>
      </c>
      <c r="KH8" s="28">
        <v>30</v>
      </c>
      <c r="KI8" s="28"/>
      <c r="KJ8" s="28"/>
      <c r="KK8" s="28">
        <v>32</v>
      </c>
      <c r="KL8" s="28"/>
      <c r="KM8" s="28">
        <v>33</v>
      </c>
      <c r="KN8" s="28">
        <v>3</v>
      </c>
      <c r="KO8" s="28"/>
      <c r="KP8" s="28"/>
      <c r="KQ8" s="28"/>
      <c r="KR8" s="28">
        <v>34</v>
      </c>
      <c r="KS8" s="28"/>
      <c r="KT8" s="28"/>
      <c r="KU8" s="28">
        <v>38</v>
      </c>
      <c r="KV8" s="28">
        <v>10</v>
      </c>
      <c r="KW8" s="28">
        <v>42</v>
      </c>
      <c r="KX8" s="28"/>
      <c r="KY8" s="28">
        <v>43</v>
      </c>
      <c r="KZ8" s="28"/>
      <c r="LA8" s="28">
        <v>44</v>
      </c>
      <c r="LB8" s="28"/>
      <c r="LC8" s="77"/>
      <c r="LD8" s="77"/>
      <c r="LE8" s="77">
        <v>45</v>
      </c>
      <c r="LF8" s="28"/>
      <c r="LG8" s="28">
        <v>45</v>
      </c>
      <c r="LH8" s="28">
        <v>28</v>
      </c>
      <c r="LI8" s="28"/>
      <c r="LJ8" s="28">
        <v>45</v>
      </c>
      <c r="LK8" s="28"/>
      <c r="LL8" s="28"/>
      <c r="LM8" s="28"/>
      <c r="LN8" s="28"/>
      <c r="LO8" s="28"/>
      <c r="LP8" s="28"/>
      <c r="LQ8" s="28"/>
      <c r="LR8" s="28"/>
      <c r="LS8" s="28">
        <v>40</v>
      </c>
      <c r="LT8" s="28">
        <v>10</v>
      </c>
      <c r="LU8" s="28"/>
      <c r="LV8" s="28">
        <v>46</v>
      </c>
      <c r="LW8" s="28">
        <v>47</v>
      </c>
      <c r="LX8" s="28"/>
      <c r="LY8" s="28">
        <v>42</v>
      </c>
      <c r="LZ8" s="28">
        <v>10</v>
      </c>
      <c r="MA8" s="28"/>
      <c r="MB8" s="28">
        <v>48</v>
      </c>
      <c r="MC8" s="28">
        <v>49</v>
      </c>
      <c r="MD8" s="28"/>
      <c r="ME8" s="28">
        <v>44</v>
      </c>
      <c r="MF8" s="28">
        <v>10</v>
      </c>
      <c r="MG8" s="28"/>
      <c r="MH8" s="28">
        <v>50</v>
      </c>
      <c r="MI8" s="28">
        <v>51</v>
      </c>
      <c r="MJ8" s="28"/>
      <c r="MK8" s="28">
        <v>46</v>
      </c>
      <c r="ML8" s="28">
        <v>10</v>
      </c>
      <c r="MM8" s="28"/>
      <c r="MN8" s="28">
        <v>52</v>
      </c>
      <c r="MO8" s="28">
        <v>53</v>
      </c>
      <c r="MP8" s="28">
        <v>54</v>
      </c>
      <c r="MQ8" s="28"/>
      <c r="MR8" s="28">
        <v>55</v>
      </c>
      <c r="MS8" s="28"/>
      <c r="MT8" s="28"/>
      <c r="MU8" s="28">
        <v>56</v>
      </c>
      <c r="MV8" s="77"/>
      <c r="MW8" s="28"/>
      <c r="MX8" s="28"/>
      <c r="MY8" s="28"/>
      <c r="MZ8" s="28"/>
      <c r="NA8" s="28"/>
      <c r="NB8" s="28">
        <v>57</v>
      </c>
      <c r="NC8" s="77"/>
      <c r="ND8" s="28"/>
      <c r="NE8" s="28"/>
      <c r="NF8" s="28"/>
      <c r="NG8" s="28"/>
      <c r="NH8" s="28"/>
      <c r="NI8" s="28"/>
      <c r="NJ8" s="28">
        <v>58</v>
      </c>
      <c r="NK8" s="77"/>
      <c r="NL8" s="28"/>
      <c r="NM8" s="28">
        <v>59</v>
      </c>
      <c r="NN8" s="28"/>
      <c r="NO8" s="28"/>
      <c r="NP8" s="28"/>
      <c r="NQ8" s="28">
        <v>60</v>
      </c>
      <c r="NR8" s="77"/>
      <c r="NS8" s="28"/>
      <c r="NT8" s="28">
        <v>61</v>
      </c>
      <c r="NU8" s="28"/>
      <c r="NV8" s="28"/>
      <c r="NW8" s="28"/>
      <c r="NX8" s="28">
        <v>62</v>
      </c>
      <c r="NY8" s="79"/>
      <c r="NZ8" s="28"/>
      <c r="OA8" s="28">
        <v>63</v>
      </c>
      <c r="OB8" s="28"/>
      <c r="OC8" s="28"/>
      <c r="OD8" s="28">
        <v>64</v>
      </c>
      <c r="OE8" s="28"/>
      <c r="OF8" s="77"/>
      <c r="OG8" s="80"/>
      <c r="OH8" s="80"/>
      <c r="OI8" s="28">
        <v>65</v>
      </c>
      <c r="OJ8" s="28"/>
      <c r="OK8" s="28"/>
      <c r="OL8" s="28"/>
      <c r="OM8" s="28"/>
      <c r="ON8" s="28">
        <v>64</v>
      </c>
      <c r="OO8" s="28"/>
      <c r="OP8" s="28"/>
      <c r="OQ8" s="28"/>
      <c r="OR8" s="28"/>
      <c r="OS8" s="28"/>
      <c r="OT8" s="28">
        <v>64</v>
      </c>
      <c r="OU8" s="28"/>
      <c r="OV8" s="81">
        <v>64</v>
      </c>
      <c r="OW8" s="28">
        <v>64</v>
      </c>
      <c r="OX8" s="28"/>
      <c r="OY8" s="28"/>
      <c r="OZ8" s="28"/>
      <c r="PA8" s="28"/>
      <c r="PB8" s="28">
        <v>66</v>
      </c>
      <c r="PC8" s="77"/>
      <c r="PD8" s="28"/>
      <c r="PE8" s="28">
        <v>66</v>
      </c>
      <c r="PF8" s="28">
        <v>67</v>
      </c>
      <c r="PG8" s="28"/>
      <c r="PH8" s="28">
        <v>68</v>
      </c>
      <c r="PI8" s="28"/>
      <c r="PJ8" s="28"/>
      <c r="PK8" s="28"/>
      <c r="PL8" s="28"/>
      <c r="PM8" s="28">
        <v>69</v>
      </c>
      <c r="PN8" s="28"/>
      <c r="PO8" s="77"/>
      <c r="PP8" s="28">
        <v>70</v>
      </c>
      <c r="PQ8" s="28"/>
      <c r="PR8" s="28"/>
      <c r="PS8" s="28"/>
      <c r="PT8" s="28">
        <v>71</v>
      </c>
      <c r="PU8" s="28"/>
      <c r="PV8" s="28">
        <v>72</v>
      </c>
      <c r="PW8" s="28"/>
      <c r="PX8" s="28"/>
      <c r="PY8" s="28"/>
      <c r="PZ8" s="28">
        <v>73</v>
      </c>
      <c r="QA8" s="28"/>
      <c r="QB8" s="77"/>
      <c r="QC8" s="28">
        <v>74</v>
      </c>
      <c r="QD8" s="28"/>
      <c r="QE8" s="28"/>
      <c r="QF8" s="28"/>
      <c r="QG8" s="28">
        <v>75</v>
      </c>
      <c r="QH8" s="28"/>
      <c r="QI8" s="77"/>
      <c r="QJ8" s="28">
        <v>43</v>
      </c>
      <c r="QK8" s="28"/>
      <c r="QL8" s="28">
        <v>48</v>
      </c>
      <c r="QM8" s="28"/>
      <c r="QN8" s="28">
        <v>49</v>
      </c>
      <c r="QO8" s="28"/>
      <c r="QP8" s="28"/>
      <c r="QQ8" s="81"/>
      <c r="QR8" s="81"/>
      <c r="QS8" s="81"/>
      <c r="QT8" s="28"/>
      <c r="QU8" s="28"/>
      <c r="QV8" s="28"/>
      <c r="QW8" s="28">
        <v>50</v>
      </c>
      <c r="QX8" s="28"/>
      <c r="QY8" s="28"/>
      <c r="QZ8" s="28"/>
      <c r="RA8" s="28"/>
      <c r="RB8" s="28"/>
      <c r="RC8" s="81"/>
      <c r="RD8" s="81"/>
      <c r="RE8" s="28">
        <v>76</v>
      </c>
      <c r="RF8" s="28"/>
      <c r="RG8" s="28"/>
      <c r="RH8" s="28"/>
      <c r="RI8" s="28"/>
      <c r="RJ8" s="28">
        <v>18</v>
      </c>
      <c r="RK8" s="28">
        <v>19</v>
      </c>
      <c r="RL8" s="28"/>
      <c r="RM8" s="28"/>
      <c r="RN8" s="28"/>
      <c r="RO8" s="28"/>
      <c r="RP8" s="28"/>
      <c r="RQ8" s="82"/>
      <c r="RR8" s="28"/>
      <c r="RS8" s="28"/>
      <c r="RT8" s="28">
        <v>51</v>
      </c>
      <c r="RU8" s="28">
        <v>52</v>
      </c>
      <c r="RV8" s="28">
        <v>31</v>
      </c>
      <c r="RW8" s="28">
        <v>44</v>
      </c>
      <c r="RX8" s="28"/>
      <c r="RY8" s="28"/>
      <c r="RZ8" s="28">
        <v>34</v>
      </c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>
        <v>53</v>
      </c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>
        <v>54</v>
      </c>
      <c r="TD8" s="28">
        <v>54</v>
      </c>
      <c r="TE8" s="28">
        <v>54</v>
      </c>
      <c r="TF8" s="28"/>
      <c r="TG8" s="28">
        <v>55</v>
      </c>
      <c r="TH8" s="28"/>
      <c r="TI8" s="28"/>
      <c r="TJ8" s="28"/>
      <c r="TK8" s="28"/>
      <c r="TL8" s="28">
        <v>56</v>
      </c>
      <c r="TM8" s="28">
        <v>57</v>
      </c>
      <c r="TN8" s="28">
        <v>58</v>
      </c>
      <c r="TO8" s="28">
        <v>59</v>
      </c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37"/>
      <c r="UA8" s="23"/>
      <c r="UB8" s="28">
        <v>60</v>
      </c>
      <c r="UC8" s="28">
        <v>61</v>
      </c>
      <c r="UD8" s="28">
        <v>37</v>
      </c>
      <c r="UE8" s="28">
        <v>38</v>
      </c>
      <c r="UF8" s="28">
        <v>62</v>
      </c>
      <c r="UG8" s="28">
        <v>63</v>
      </c>
      <c r="UH8" s="28">
        <v>64</v>
      </c>
      <c r="UI8" s="28">
        <v>65</v>
      </c>
      <c r="UJ8" s="28">
        <v>66</v>
      </c>
      <c r="UK8" s="28">
        <v>67</v>
      </c>
      <c r="UL8" s="28">
        <v>68</v>
      </c>
      <c r="UN8" s="78"/>
      <c r="UO8" s="78"/>
      <c r="UP8" s="78"/>
      <c r="UQ8" s="78"/>
      <c r="UR8" s="28"/>
      <c r="US8" s="28"/>
      <c r="UT8" s="28"/>
      <c r="UU8" s="28"/>
      <c r="UV8" s="28"/>
      <c r="UW8" s="83">
        <v>3</v>
      </c>
      <c r="UX8" s="83">
        <v>4</v>
      </c>
      <c r="UY8" s="83"/>
      <c r="UZ8" s="83"/>
      <c r="VA8" s="83">
        <v>5</v>
      </c>
      <c r="VB8" s="83">
        <v>6</v>
      </c>
      <c r="VC8" s="83">
        <v>7</v>
      </c>
      <c r="VD8" s="83"/>
      <c r="VE8" s="83"/>
      <c r="VF8" s="83">
        <v>8</v>
      </c>
      <c r="VG8" s="83">
        <v>9</v>
      </c>
      <c r="VH8" s="83"/>
      <c r="VI8" s="83"/>
      <c r="VJ8" s="83">
        <v>10</v>
      </c>
      <c r="VK8" s="83"/>
      <c r="VL8" s="83">
        <v>11</v>
      </c>
      <c r="VM8" s="83">
        <v>12</v>
      </c>
      <c r="VN8" s="83"/>
      <c r="VO8" s="83"/>
      <c r="VP8" s="81"/>
      <c r="VQ8" s="81"/>
      <c r="VR8" s="83"/>
      <c r="VS8" s="83"/>
      <c r="VT8" s="83"/>
      <c r="VU8" s="83"/>
      <c r="VV8" s="83"/>
      <c r="VW8" s="83">
        <v>13</v>
      </c>
      <c r="VX8" s="83">
        <v>14</v>
      </c>
      <c r="VY8" s="83"/>
      <c r="VZ8" s="83"/>
      <c r="WA8" s="83"/>
      <c r="WB8" s="83"/>
      <c r="WC8" s="83">
        <v>15</v>
      </c>
      <c r="WD8" s="83"/>
      <c r="WE8" s="83">
        <v>14</v>
      </c>
      <c r="WF8" s="83"/>
      <c r="WG8" s="28">
        <v>36</v>
      </c>
      <c r="WH8" s="28">
        <v>36</v>
      </c>
      <c r="WI8" s="28">
        <v>36</v>
      </c>
      <c r="WJ8" s="28">
        <v>36</v>
      </c>
      <c r="WK8" s="81">
        <v>34</v>
      </c>
      <c r="WL8" s="81"/>
      <c r="WM8" s="28">
        <v>34</v>
      </c>
      <c r="WN8" s="28"/>
      <c r="WO8" s="83"/>
      <c r="WP8" s="81"/>
      <c r="WQ8" s="83"/>
      <c r="WR8" s="84"/>
      <c r="WS8" s="84"/>
      <c r="WT8" s="28">
        <v>36</v>
      </c>
      <c r="WU8" s="37">
        <v>36</v>
      </c>
      <c r="WV8" s="37"/>
      <c r="WW8" s="84"/>
      <c r="WX8" s="84"/>
      <c r="WY8" s="84"/>
      <c r="XB8" s="83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7"/>
      <c r="XS8" s="28">
        <v>1</v>
      </c>
      <c r="XT8" s="28">
        <v>2</v>
      </c>
      <c r="XU8" s="28" t="s">
        <v>409</v>
      </c>
      <c r="XV8" s="28" t="s">
        <v>410</v>
      </c>
      <c r="XW8" s="28" t="s">
        <v>411</v>
      </c>
      <c r="XX8" s="28" t="s">
        <v>412</v>
      </c>
      <c r="XY8" s="28" t="s">
        <v>413</v>
      </c>
      <c r="XZ8" s="28" t="s">
        <v>414</v>
      </c>
      <c r="YA8" s="28" t="s">
        <v>415</v>
      </c>
      <c r="YB8" s="28" t="s">
        <v>416</v>
      </c>
      <c r="YC8" s="28" t="s">
        <v>417</v>
      </c>
      <c r="YD8" s="28" t="s">
        <v>418</v>
      </c>
      <c r="YE8" s="28">
        <v>3</v>
      </c>
      <c r="YF8" s="28">
        <v>4</v>
      </c>
      <c r="YG8" s="28">
        <v>5</v>
      </c>
      <c r="YK8" s="85" t="s">
        <v>419</v>
      </c>
      <c r="YL8" s="85" t="s">
        <v>420</v>
      </c>
      <c r="YM8" s="85" t="s">
        <v>421</v>
      </c>
      <c r="YN8" s="86" t="s">
        <v>422</v>
      </c>
      <c r="YO8" s="85" t="s">
        <v>423</v>
      </c>
      <c r="YP8" s="85" t="s">
        <v>424</v>
      </c>
      <c r="YQ8" s="86" t="s">
        <v>425</v>
      </c>
      <c r="YR8" s="20"/>
      <c r="YY8" s="83">
        <v>3</v>
      </c>
      <c r="YZ8" s="83">
        <v>4</v>
      </c>
      <c r="ZA8" s="83">
        <v>5</v>
      </c>
      <c r="ZB8" s="83">
        <v>6</v>
      </c>
      <c r="ZC8" s="83">
        <v>7</v>
      </c>
      <c r="ZD8" s="83"/>
      <c r="ZE8" s="83"/>
      <c r="ZF8" s="83">
        <v>8</v>
      </c>
      <c r="ZG8" s="83">
        <v>9</v>
      </c>
      <c r="ZH8" s="83"/>
      <c r="ZI8" s="83"/>
      <c r="ZJ8" s="83">
        <v>10</v>
      </c>
      <c r="ZK8" s="83">
        <v>10</v>
      </c>
      <c r="ZL8" s="83"/>
      <c r="ZM8" s="83">
        <v>11</v>
      </c>
      <c r="ZN8" s="83"/>
      <c r="ZO8" s="83"/>
      <c r="ZP8" s="83">
        <v>12</v>
      </c>
      <c r="ZQ8" s="83"/>
      <c r="ZR8" s="83"/>
      <c r="ZS8" s="81"/>
      <c r="ZT8" s="81"/>
      <c r="ZU8" s="83"/>
      <c r="ZV8" s="83"/>
      <c r="ZW8" s="83"/>
      <c r="ZX8" s="83"/>
      <c r="ZY8" s="83"/>
      <c r="ZZ8" s="83">
        <v>13</v>
      </c>
      <c r="AAA8" s="83">
        <v>14</v>
      </c>
      <c r="AAB8" s="83"/>
      <c r="AAC8" s="83"/>
      <c r="AAD8" s="83"/>
      <c r="AAE8" s="83"/>
      <c r="AAF8" s="83">
        <v>14</v>
      </c>
      <c r="AAG8" s="83"/>
      <c r="AAH8" s="83">
        <v>15</v>
      </c>
      <c r="AAI8" s="83">
        <v>15</v>
      </c>
      <c r="AAJ8" s="83"/>
      <c r="AAM8" s="28">
        <v>16</v>
      </c>
      <c r="AAN8" s="28"/>
      <c r="AAO8" s="83">
        <v>3</v>
      </c>
      <c r="AAP8" s="20"/>
      <c r="AAQ8" s="83" t="s">
        <v>426</v>
      </c>
      <c r="AAR8" s="20"/>
      <c r="AAS8" s="83" t="s">
        <v>427</v>
      </c>
      <c r="AAT8" s="83"/>
      <c r="AAU8" s="20"/>
      <c r="AAV8" s="83" t="s">
        <v>428</v>
      </c>
      <c r="AAW8" s="83"/>
      <c r="AAX8" s="83" t="s">
        <v>429</v>
      </c>
      <c r="AAY8" s="83" t="s">
        <v>430</v>
      </c>
      <c r="AAZ8" s="83">
        <v>9</v>
      </c>
      <c r="ABA8" s="83">
        <v>10</v>
      </c>
      <c r="ABB8" s="83">
        <v>11</v>
      </c>
      <c r="ABC8" s="20"/>
      <c r="ABD8" s="83" t="s">
        <v>431</v>
      </c>
      <c r="ABE8" s="83"/>
      <c r="ABF8" s="20"/>
      <c r="ABG8" s="83" t="s">
        <v>432</v>
      </c>
      <c r="ABH8" s="83"/>
      <c r="ABI8" s="83"/>
      <c r="ABJ8" s="83"/>
      <c r="ABK8" s="20"/>
      <c r="ABL8" s="83" t="s">
        <v>433</v>
      </c>
      <c r="ABM8" s="83">
        <v>10</v>
      </c>
      <c r="ABN8" s="83"/>
      <c r="ABO8" s="20"/>
      <c r="ABP8" s="83">
        <v>4</v>
      </c>
      <c r="ABQ8" s="83"/>
      <c r="ABR8" s="83"/>
      <c r="ABS8" s="83"/>
      <c r="ABT8" s="20"/>
      <c r="ABU8" s="83">
        <v>5</v>
      </c>
      <c r="ABV8" s="83"/>
      <c r="ABW8" s="83"/>
      <c r="ABX8" s="83"/>
      <c r="ABY8" s="81"/>
      <c r="ABZ8" s="81"/>
      <c r="ACA8" s="83">
        <v>0</v>
      </c>
      <c r="ACB8" s="83">
        <v>0</v>
      </c>
      <c r="ACC8" s="83"/>
      <c r="ACD8" s="83"/>
      <c r="ACE8" s="83"/>
      <c r="ACF8" s="20"/>
      <c r="ACG8" s="83">
        <v>6</v>
      </c>
      <c r="ACH8" s="83"/>
      <c r="ACI8" s="83">
        <v>15</v>
      </c>
      <c r="ACJ8" s="83"/>
      <c r="ACK8" s="83"/>
      <c r="ACL8" s="83"/>
      <c r="ACM8" s="83"/>
      <c r="ACN8" s="83">
        <v>16</v>
      </c>
      <c r="ACO8" s="83">
        <v>7</v>
      </c>
      <c r="ACP8" s="28">
        <v>8</v>
      </c>
      <c r="ACQ8" s="83">
        <v>9</v>
      </c>
      <c r="ACR8" s="83">
        <v>18</v>
      </c>
      <c r="ACS8" s="28">
        <v>19</v>
      </c>
      <c r="ACT8" s="83">
        <v>20</v>
      </c>
      <c r="ACU8" s="20"/>
      <c r="ACV8" s="20"/>
      <c r="ACX8" s="87">
        <v>10</v>
      </c>
      <c r="ACY8" s="20"/>
      <c r="ACZ8" s="20"/>
      <c r="ADB8" s="28">
        <v>1</v>
      </c>
      <c r="ADC8" s="28">
        <v>2</v>
      </c>
      <c r="ADD8" s="28" t="s">
        <v>409</v>
      </c>
      <c r="ADE8" s="28" t="s">
        <v>410</v>
      </c>
      <c r="ADF8" s="28" t="s">
        <v>411</v>
      </c>
      <c r="ADG8" s="28" t="s">
        <v>412</v>
      </c>
      <c r="ADH8" s="28" t="s">
        <v>434</v>
      </c>
      <c r="ADI8" s="28" t="s">
        <v>435</v>
      </c>
      <c r="ADJ8" s="28" t="s">
        <v>413</v>
      </c>
      <c r="ADK8" s="28" t="s">
        <v>414</v>
      </c>
      <c r="ADL8" s="28" t="s">
        <v>415</v>
      </c>
      <c r="ADM8" s="28" t="s">
        <v>416</v>
      </c>
      <c r="ADN8" s="28" t="s">
        <v>417</v>
      </c>
      <c r="ADO8" s="28" t="s">
        <v>418</v>
      </c>
      <c r="ADP8" s="28">
        <v>3</v>
      </c>
      <c r="ADQ8" s="28">
        <v>4</v>
      </c>
      <c r="ADR8" s="28">
        <v>5</v>
      </c>
      <c r="AEG8" s="1">
        <v>3</v>
      </c>
      <c r="AEH8" s="1">
        <v>4</v>
      </c>
      <c r="AEI8" s="1">
        <v>5</v>
      </c>
      <c r="AEJ8" s="1">
        <v>6</v>
      </c>
      <c r="AEK8" s="1">
        <v>7</v>
      </c>
      <c r="AEL8" s="1">
        <v>8</v>
      </c>
      <c r="AEM8" s="1">
        <v>9</v>
      </c>
      <c r="AEN8" s="1">
        <v>10</v>
      </c>
      <c r="AEO8" s="1">
        <v>11</v>
      </c>
      <c r="AEP8" s="1">
        <v>12</v>
      </c>
      <c r="AEQ8" s="1">
        <v>13</v>
      </c>
      <c r="AET8" s="1">
        <v>14</v>
      </c>
      <c r="AEU8" s="1">
        <v>10</v>
      </c>
      <c r="AEW8" s="1">
        <v>15</v>
      </c>
      <c r="AEZ8" s="1">
        <v>16</v>
      </c>
      <c r="AFJ8" s="1">
        <v>17</v>
      </c>
      <c r="AFK8" s="1">
        <v>18</v>
      </c>
      <c r="AFP8" s="1">
        <v>19</v>
      </c>
    </row>
    <row r="9" spans="1:856" s="1" customFormat="1" ht="63.75" customHeight="1">
      <c r="A9" s="88">
        <v>1</v>
      </c>
      <c r="B9" s="20"/>
      <c r="C9" s="89" t="s">
        <v>436</v>
      </c>
      <c r="D9" s="20"/>
      <c r="E9" s="20" t="s">
        <v>437</v>
      </c>
      <c r="F9" s="20" t="s">
        <v>438</v>
      </c>
      <c r="G9" s="20">
        <v>0.8</v>
      </c>
      <c r="H9" s="20">
        <v>618.9</v>
      </c>
      <c r="I9" s="20">
        <f>618.9+0.8+2.5-3.3-0.2-0.2-0.2+30.1-0.6</f>
        <v>647.79999999999984</v>
      </c>
      <c r="J9" s="20">
        <f t="shared" ref="J9:J60" si="0">I9*G9</f>
        <v>518.2399999999999</v>
      </c>
      <c r="K9" s="20">
        <v>16</v>
      </c>
      <c r="L9" s="20"/>
      <c r="M9" s="20"/>
      <c r="N9" s="20"/>
      <c r="O9" s="90">
        <f t="shared" ref="O9:O60" si="1">ROUND((N9/$I9),2)</f>
        <v>0</v>
      </c>
      <c r="P9" s="20"/>
      <c r="Q9" s="20"/>
      <c r="R9" s="90">
        <f t="shared" ref="R9:R60" si="2">ROUND((Q9/$I9),2)</f>
        <v>0</v>
      </c>
      <c r="S9" s="20">
        <v>49.2</v>
      </c>
      <c r="T9" s="20">
        <v>2.6</v>
      </c>
      <c r="U9" s="20">
        <v>3.13</v>
      </c>
      <c r="V9" s="91">
        <f t="shared" ref="V9:V60" si="3">ROUND((T9*U9*S9),2)</f>
        <v>400.39</v>
      </c>
      <c r="W9" s="20">
        <v>2.1000000000000001E-2</v>
      </c>
      <c r="X9" s="20">
        <f t="shared" ref="X9:X60" si="4">33.42</f>
        <v>33.42</v>
      </c>
      <c r="Y9" s="91">
        <f t="shared" ref="Y9:Y60" si="5">ROUND((W9*X9*S9),2)</f>
        <v>34.53</v>
      </c>
      <c r="Z9" s="20"/>
      <c r="AA9" s="20"/>
      <c r="AB9" s="20"/>
      <c r="AC9" s="91">
        <f t="shared" ref="AC9:AC60" si="6">ROUND((T9*U9*S9+W9*X9*S9+Z9*AA9*S9),2)</f>
        <v>434.92</v>
      </c>
      <c r="AD9" s="90">
        <f t="shared" ref="AD9:AD60" si="7">ROUND((AC9/$I9),2)</f>
        <v>0.67</v>
      </c>
      <c r="AE9" s="92">
        <f t="shared" ref="AE9:AE60" si="8">AC9*12</f>
        <v>5219.04</v>
      </c>
      <c r="AF9" s="20">
        <v>37</v>
      </c>
      <c r="AG9" s="20">
        <v>36</v>
      </c>
      <c r="AH9" s="20">
        <v>36</v>
      </c>
      <c r="AI9" s="20">
        <v>35</v>
      </c>
      <c r="AJ9" s="20">
        <v>1.6</v>
      </c>
      <c r="AK9" s="90">
        <f t="shared" ref="AK9:AK60" si="9">ROUND((AH9*AJ9/12),2)</f>
        <v>4.8</v>
      </c>
      <c r="AL9" s="90">
        <v>391.01</v>
      </c>
      <c r="AM9" s="90">
        <f t="shared" ref="AM9:AM60" si="10">ROUND((AK9*AL9),2)</f>
        <v>1876.85</v>
      </c>
      <c r="AN9" s="20">
        <v>36</v>
      </c>
      <c r="AO9" s="20">
        <v>35</v>
      </c>
      <c r="AP9" s="20">
        <v>37</v>
      </c>
      <c r="AQ9" s="20">
        <v>36</v>
      </c>
      <c r="AR9" s="20">
        <v>35</v>
      </c>
      <c r="AS9" s="20">
        <v>37</v>
      </c>
      <c r="AT9" s="20">
        <f t="shared" ref="AT9:AT60" si="11">AP9-AH9</f>
        <v>1</v>
      </c>
      <c r="AU9" s="20">
        <v>1.6</v>
      </c>
      <c r="AV9" s="90">
        <f t="shared" ref="AV9:AV60" si="12">ROUND((AP9*AU9/12),2)</f>
        <v>4.93</v>
      </c>
      <c r="AW9" s="90">
        <f t="shared" ref="AW9:AW14" si="13">ROUND((179.74*6+181.82*6)/12,2)</f>
        <v>180.78</v>
      </c>
      <c r="AX9" s="90">
        <v>891.85</v>
      </c>
      <c r="AY9" s="90">
        <f t="shared" ref="AY9:AY60" si="14">ROUND((AX9/$I9),2)</f>
        <v>1.38</v>
      </c>
      <c r="AZ9" s="90">
        <f t="shared" ref="AZ9:AZ60" si="15">ROUND((AP9*AU9*AL9)/12,2)</f>
        <v>1928.98</v>
      </c>
      <c r="BA9" s="90">
        <f t="shared" ref="BA9:BA60" si="16">AX9-AZ9</f>
        <v>-1037.1300000000001</v>
      </c>
      <c r="BB9" s="90">
        <v>891.85</v>
      </c>
      <c r="BC9" s="90">
        <v>1.38</v>
      </c>
      <c r="BD9" s="92">
        <f t="shared" ref="BD9:BD60" si="17">AX9*12</f>
        <v>10702.2</v>
      </c>
      <c r="BE9" s="90"/>
      <c r="BF9" s="90">
        <f t="shared" ref="BF9:BF60" si="18">ROUND((BE9/$I9),2)</f>
        <v>0</v>
      </c>
      <c r="BG9" s="90">
        <v>391.01</v>
      </c>
      <c r="BH9" s="90">
        <f t="shared" ref="BH9:BH60" si="19">ROUND((AV9*BG9),2)</f>
        <v>1927.68</v>
      </c>
      <c r="BI9" s="90">
        <f t="shared" ref="BI9:BI60" si="20">ROUND((BH9/$I9),2)</f>
        <v>2.98</v>
      </c>
      <c r="BJ9" s="90">
        <f t="shared" ref="BJ9:BJ60" si="21">BI9/AY9*100</f>
        <v>215.94202898550728</v>
      </c>
      <c r="BK9" s="90">
        <f t="shared" ref="BK9:BK60" si="22">BH9</f>
        <v>1927.68</v>
      </c>
      <c r="BL9" s="90">
        <f t="shared" ref="BL9:BL60" si="23">ROUND((BK9/$I9),2)</f>
        <v>2.98</v>
      </c>
      <c r="BM9" s="90"/>
      <c r="BN9" s="90">
        <f t="shared" ref="BN9:BN60" si="24">BM9/6</f>
        <v>0</v>
      </c>
      <c r="BO9" s="90">
        <f t="shared" ref="BO9:BO60" si="25">BH9+BN9</f>
        <v>1927.68</v>
      </c>
      <c r="BP9" s="90">
        <f t="shared" ref="BP9:BP60" si="26">BO9/I9</f>
        <v>2.9757332510033971</v>
      </c>
      <c r="BQ9" s="90"/>
      <c r="BR9" s="90">
        <f t="shared" ref="BR9:BR60" si="27">BQ9/6</f>
        <v>0</v>
      </c>
      <c r="BS9" s="90">
        <f t="shared" ref="BS9:BS60" si="28">BH9+BR9</f>
        <v>1927.68</v>
      </c>
      <c r="BT9" s="90">
        <f t="shared" ref="BT9:BT60" si="29">BS9/I9</f>
        <v>2.9757332510033971</v>
      </c>
      <c r="BU9" s="90"/>
      <c r="BV9" s="93">
        <v>0.82054400000000005</v>
      </c>
      <c r="BW9" s="90">
        <f t="shared" ref="BW9:BW60" si="30">$I9*BV9</f>
        <v>531.54840319999994</v>
      </c>
      <c r="BX9" s="90">
        <f t="shared" ref="BX9:BX60" si="31">BW9*1.06</f>
        <v>563.441307392</v>
      </c>
      <c r="BY9" s="90"/>
      <c r="BZ9" s="90"/>
      <c r="CA9" s="90">
        <v>0.26506960000000002</v>
      </c>
      <c r="CB9" s="90">
        <f t="shared" ref="CB9:CB14" si="32">I9*CA9</f>
        <v>171.71208687999996</v>
      </c>
      <c r="CC9" s="90">
        <v>0.71072749999999996</v>
      </c>
      <c r="CD9" s="90">
        <f t="shared" ref="CD9:CD45" si="33">$CB9*CC9</f>
        <v>122.04050222800517</v>
      </c>
      <c r="CE9" s="90">
        <f t="shared" ref="CE9:CE45" si="34">CD9/$SA9*$SB9</f>
        <v>184.5405855730109</v>
      </c>
      <c r="CF9" s="90">
        <f>I9*0.278104229</f>
        <v>180.15591954619995</v>
      </c>
      <c r="CG9" s="90">
        <f>I9*0.278104229</f>
        <v>180.15591954619995</v>
      </c>
      <c r="CH9" s="90">
        <f t="shared" ref="CH9:CH45" si="35">ROUND((CG9*1.048),2)</f>
        <v>188.8</v>
      </c>
      <c r="CI9" s="90">
        <f>I9*0.305878308</f>
        <v>198.14796792239994</v>
      </c>
      <c r="CJ9" s="90">
        <f t="shared" ref="CJ9:CJ60" si="36">ROUND((CH9*1.055),2)</f>
        <v>199.18</v>
      </c>
      <c r="CK9" s="90">
        <f t="shared" ref="CK9:CK60" si="37">CI9/($LA9-$HN9)*($LG9-$HP9)</f>
        <v>210.66191916150223</v>
      </c>
      <c r="CL9" s="90">
        <f t="shared" ref="CL9:CL60" si="38">CK9</f>
        <v>210.66191916150223</v>
      </c>
      <c r="CM9" s="94">
        <v>0.14899999999999999</v>
      </c>
      <c r="CN9" s="90">
        <f t="shared" ref="CN9:CN60" si="39">$BW9*CM9</f>
        <v>79.200712076799988</v>
      </c>
      <c r="CO9" s="90">
        <f t="shared" ref="CO9:CO60" si="40">CN9*1.06</f>
        <v>83.952754801407991</v>
      </c>
      <c r="CP9" s="90"/>
      <c r="CQ9" s="90">
        <v>3.9538999999999998E-2</v>
      </c>
      <c r="CR9" s="90">
        <f t="shared" ref="CR9:CR14" si="41">I9*CQ9</f>
        <v>25.613364199999992</v>
      </c>
      <c r="CS9" s="90">
        <v>0.71072749999999996</v>
      </c>
      <c r="CT9" s="90">
        <f t="shared" ref="CT9:CT45" si="42">$CR9*CS9</f>
        <v>18.204122304455492</v>
      </c>
      <c r="CU9" s="90">
        <f t="shared" ref="CU9:CU45" si="43">CT9/$SA9*$SB9</f>
        <v>27.526922034708157</v>
      </c>
      <c r="CV9" s="90">
        <f>I9*0.085944411</f>
        <v>55.674789445799988</v>
      </c>
      <c r="CW9" s="90">
        <f t="shared" ref="CW9:CW45" si="44">ROUND((CV9*1.048),2)</f>
        <v>58.35</v>
      </c>
      <c r="CX9" s="90">
        <f>I9*0.094524781</f>
        <v>61.233153131799988</v>
      </c>
      <c r="CY9" s="90">
        <f t="shared" ref="CY9:CY60" si="45">ROUND((CW9*1.055),2)</f>
        <v>61.56</v>
      </c>
      <c r="CZ9" s="90">
        <f t="shared" ref="CZ9:CZ60" si="46">CX9/($LA9-$HN9)*($LG9-$HP9)</f>
        <v>65.100307059958965</v>
      </c>
      <c r="DA9" s="90">
        <f t="shared" ref="DA9:DA60" si="47">CZ9</f>
        <v>65.100307059958965</v>
      </c>
      <c r="DB9" s="93">
        <v>0.80940000000000001</v>
      </c>
      <c r="DC9" s="90">
        <f t="shared" ref="DC9:DC60" si="48">$I9*DB9</f>
        <v>524.32931999999983</v>
      </c>
      <c r="DD9" s="90">
        <f t="shared" ref="DD9:DD60" si="49">DC9*1.06</f>
        <v>555.78907919999983</v>
      </c>
      <c r="DE9" s="90"/>
      <c r="DF9" s="90"/>
      <c r="DG9" s="90">
        <v>0.16261500000000001</v>
      </c>
      <c r="DH9" s="90">
        <f t="shared" ref="DH9:DH14" si="50">I9*DG9</f>
        <v>105.34199699999998</v>
      </c>
      <c r="DI9" s="90">
        <v>0.71072749999999996</v>
      </c>
      <c r="DJ9" s="90">
        <f t="shared" ref="DJ9:DJ45" si="51">$DH9*DI9</f>
        <v>74.869454172817484</v>
      </c>
      <c r="DK9" s="90">
        <f t="shared" ref="DK9:DK45" si="52">DJ9/$SA9*$SB9</f>
        <v>113.21202930458708</v>
      </c>
      <c r="DL9" s="90">
        <f>I9*0.138254139</f>
        <v>89.561031244199981</v>
      </c>
      <c r="DM9" s="90">
        <f t="shared" ref="DM9:DM45" si="53">ROUND((DL9*1.048),2)</f>
        <v>93.86</v>
      </c>
      <c r="DN9" s="90">
        <f>I9*0.152065123</f>
        <v>98.50778667939997</v>
      </c>
      <c r="DO9" s="90">
        <f t="shared" ref="DO9:DO60" si="54">ROUND((DM9*1.055),2)</f>
        <v>99.02</v>
      </c>
      <c r="DP9" s="90">
        <f t="shared" ref="DP9:DP60" si="55">DN9/($LA9-$HN9)*($LG9-$HP9)</f>
        <v>104.72900434871599</v>
      </c>
      <c r="DQ9" s="90">
        <f t="shared" ref="DQ9:DQ60" si="56">DP9</f>
        <v>104.72900434871599</v>
      </c>
      <c r="DR9" s="93">
        <v>3.1841000000000001E-2</v>
      </c>
      <c r="DS9" s="90">
        <f t="shared" ref="DS9:DS60" si="57">$I9*DR9</f>
        <v>20.626599799999997</v>
      </c>
      <c r="DT9" s="90">
        <f t="shared" ref="DT9:DT60" si="58">DS9*1.06</f>
        <v>21.864195788</v>
      </c>
      <c r="DU9" s="90"/>
      <c r="DV9" s="90">
        <v>6.1506E-3</v>
      </c>
      <c r="DW9" s="90">
        <f t="shared" ref="DW9:DW14" si="59">I9*DV9</f>
        <v>3.9843586799999988</v>
      </c>
      <c r="DX9" s="90">
        <v>0.71072749999999996</v>
      </c>
      <c r="DY9" s="90">
        <f t="shared" ref="DY9:DY45" si="60">$DW9*DX9</f>
        <v>2.8317932837396991</v>
      </c>
      <c r="DZ9" s="90">
        <f t="shared" ref="DZ9:DZ45" si="61">DY9/$SA9*$SB9</f>
        <v>4.2820275339962066</v>
      </c>
      <c r="EA9" s="90">
        <f t="shared" ref="EA9:EA45" si="62">ROUND((DZ9*1.048),2)</f>
        <v>4.49</v>
      </c>
      <c r="EB9" s="90">
        <f>I9*0.007267402</f>
        <v>4.7078230155999989</v>
      </c>
      <c r="EC9" s="90">
        <f t="shared" ref="EC9:EC60" si="63">ROUND((EA9*1.055),2)</f>
        <v>4.74</v>
      </c>
      <c r="ED9" s="90">
        <f t="shared" ref="ED9:ED60" si="64">EB9/($LA9-$HN9)*($LG9-$HP9)</f>
        <v>5.0051435901042698</v>
      </c>
      <c r="EE9" s="90">
        <f t="shared" ref="EE9:EE60" si="65">ED9</f>
        <v>5.0051435901042698</v>
      </c>
      <c r="EF9" s="94">
        <v>0.85293354333000004</v>
      </c>
      <c r="EG9" s="90">
        <f t="shared" ref="EG9:EG60" si="66">$J9*EF9</f>
        <v>442.02427949533916</v>
      </c>
      <c r="EH9" s="90">
        <f t="shared" ref="EH9:EH60" si="67">EG9*1.06</f>
        <v>468.54573626505953</v>
      </c>
      <c r="EI9" s="90"/>
      <c r="EJ9" s="90">
        <v>0.58970610000000001</v>
      </c>
      <c r="EK9" s="90">
        <f t="shared" ref="EK9:EK46" si="68">$J9*EJ9</f>
        <v>305.60928926399993</v>
      </c>
      <c r="EL9" s="90">
        <v>0.71072749999999996</v>
      </c>
      <c r="EM9" s="90">
        <f t="shared" ref="EM9:EM45" si="69">EK9*EL9</f>
        <v>217.20492613537948</v>
      </c>
      <c r="EN9" s="90">
        <f t="shared" ref="EN9:EN45" si="70">EM9/$SA9*$SB9</f>
        <v>328.44116114402112</v>
      </c>
      <c r="EO9" s="90">
        <f>J9*0.618073579</f>
        <v>320.31045158095998</v>
      </c>
      <c r="EP9" s="90">
        <f t="shared" ref="EP9:EP45" si="71">ROUND((EO9*1.048),2)</f>
        <v>335.69</v>
      </c>
      <c r="EQ9" s="90">
        <f>I9*0.543841207</f>
        <v>352.30033389459993</v>
      </c>
      <c r="ER9" s="90">
        <f t="shared" ref="ER9:ER60" si="72">ROUND((EP9*1.055),2)</f>
        <v>354.15</v>
      </c>
      <c r="ES9" s="90">
        <f t="shared" ref="ES9:ES60" si="73">EQ9/($LA9-$HN9)*($LG9-$HP9)</f>
        <v>374.54971271034952</v>
      </c>
      <c r="ET9" s="90">
        <f t="shared" ref="ET9:ET60" si="74">ES9</f>
        <v>374.54971271034952</v>
      </c>
      <c r="EU9" s="94">
        <v>0.14899999999999999</v>
      </c>
      <c r="EV9" s="90">
        <f t="shared" ref="EV9:EV60" si="75">$EG9*EU9</f>
        <v>65.861617644805534</v>
      </c>
      <c r="EW9" s="90">
        <f t="shared" ref="EW9:EW60" si="76">EV9*1.06</f>
        <v>69.813314703493873</v>
      </c>
      <c r="EX9" s="90"/>
      <c r="EY9" s="90">
        <v>8.7874999999999995E-2</v>
      </c>
      <c r="EZ9" s="90">
        <f t="shared" ref="EZ9:EZ46" si="77">$J9*EY9</f>
        <v>45.540339999999986</v>
      </c>
      <c r="FA9" s="90">
        <v>0.71072749999999996</v>
      </c>
      <c r="FB9" s="90">
        <f t="shared" ref="FB9:FB45" si="78">EZ9*FA9</f>
        <v>32.366771997349986</v>
      </c>
      <c r="FC9" s="90">
        <f t="shared" ref="FC9:FC45" si="79">FB9/$SA9*$SB9</f>
        <v>48.942629278433529</v>
      </c>
      <c r="FD9" s="90">
        <f>J9*0.191143496</f>
        <v>99.058205367039974</v>
      </c>
      <c r="FE9" s="90">
        <f t="shared" ref="FE9:FE45" si="80">ROUND((FD9*1.048),2)</f>
        <v>103.81</v>
      </c>
      <c r="FF9" s="90">
        <f>I9*0.168186131</f>
        <v>108.95097566179997</v>
      </c>
      <c r="FG9" s="90">
        <f t="shared" ref="FG9:FG60" si="81">ROUND((FE9*1.055),2)</f>
        <v>109.52</v>
      </c>
      <c r="FH9" s="90">
        <f t="shared" ref="FH9:FH60" si="82">FF9/($LA9-$HN9)*($LG9-$HP9)</f>
        <v>115.83172852129098</v>
      </c>
      <c r="FI9" s="90">
        <f t="shared" ref="FI9:FI60" si="83">FH9</f>
        <v>115.83172852129098</v>
      </c>
      <c r="FJ9" s="93">
        <v>0.49981642240000002</v>
      </c>
      <c r="FK9" s="90">
        <f t="shared" ref="FK9:FK60" si="84">$J9*FJ9</f>
        <v>259.02486274457596</v>
      </c>
      <c r="FL9" s="90">
        <f t="shared" ref="FL9:FL60" si="85">FK9*1.06</f>
        <v>274.56635450925052</v>
      </c>
      <c r="FM9" s="90"/>
      <c r="FN9" s="90">
        <v>0.35816899099999999</v>
      </c>
      <c r="FO9" s="90">
        <f t="shared" ref="FO9:FO46" si="86">$J9*FN9</f>
        <v>185.61749789583996</v>
      </c>
      <c r="FP9" s="90">
        <v>0.71072749999999996</v>
      </c>
      <c r="FQ9" s="90">
        <f t="shared" ref="FQ9:FQ45" si="87">FO9*FP9</f>
        <v>131.92346023576559</v>
      </c>
      <c r="FR9" s="90">
        <f t="shared" ref="FR9:FR45" si="88">FQ9/$SA9*$SB9</f>
        <v>199.4848608312216</v>
      </c>
      <c r="FS9" s="90">
        <f>J9*0.303440293</f>
        <v>157.25489744431999</v>
      </c>
      <c r="FT9" s="90">
        <f t="shared" ref="FT9:FT60" si="89">ROUND((FS9*1.048),2)</f>
        <v>164.8</v>
      </c>
      <c r="FU9" s="90">
        <f>J9*0.303696725</f>
        <v>157.38779076399996</v>
      </c>
      <c r="FV9" s="90">
        <f t="shared" ref="FV9:FV45" si="90">ROUND((FU9*1.048),2)</f>
        <v>164.94</v>
      </c>
      <c r="FW9" s="90">
        <f>I9*0.267226736</f>
        <v>173.10947958079998</v>
      </c>
      <c r="FX9" s="90">
        <f t="shared" ref="FX9:FX60" si="91">ROUND((FV9*1.055),2)</f>
        <v>174.01</v>
      </c>
      <c r="FY9" s="90">
        <f t="shared" ref="FY9:FY60" si="92">FW9/($LA9-$HN9)*($LG9-$HP9)</f>
        <v>184.04213566208202</v>
      </c>
      <c r="FZ9" s="90">
        <f t="shared" ref="FZ9:FZ60" si="93">FY9</f>
        <v>184.04213566208202</v>
      </c>
      <c r="GA9" s="94">
        <v>1.352261642E-2</v>
      </c>
      <c r="GB9" s="90">
        <f t="shared" ref="GB9:GB60" si="94">$J9*GA9</f>
        <v>7.0079607335007985</v>
      </c>
      <c r="GC9" s="90">
        <f t="shared" ref="GC9:GC60" si="95">GB9*1.06</f>
        <v>7.4284383775108465</v>
      </c>
      <c r="GD9" s="90"/>
      <c r="GE9" s="90">
        <v>1.0795000000000001E-2</v>
      </c>
      <c r="GF9" s="90">
        <f t="shared" ref="GF9:GF46" si="96">$J9*GE9</f>
        <v>5.594400799999999</v>
      </c>
      <c r="GG9" s="90">
        <v>0.71072749999999996</v>
      </c>
      <c r="GH9" s="90">
        <f t="shared" ref="GH9:GH45" si="97">GF9*GG9</f>
        <v>3.9760944945819992</v>
      </c>
      <c r="GI9" s="90">
        <f t="shared" ref="GI9:GI45" si="98">GH9/$SA9*$SB9</f>
        <v>6.0123548570206564</v>
      </c>
      <c r="GJ9" s="90">
        <f t="shared" ref="GJ9:GJ45" si="99">ROUND((GI9*1.048),2)</f>
        <v>6.3</v>
      </c>
      <c r="GK9" s="90">
        <f>I9*0.010213208</f>
        <v>6.6161161423999983</v>
      </c>
      <c r="GL9" s="90">
        <f t="shared" ref="GL9:GL60" si="100">ROUND((GJ9*1.055),2)</f>
        <v>6.65</v>
      </c>
      <c r="GM9" s="90">
        <f t="shared" ref="GM9:GM60" si="101">GK9/($LA9-$HN9)*($LG9-$HP9)</f>
        <v>7.0339541634825835</v>
      </c>
      <c r="GN9" s="90">
        <f t="shared" ref="GN9:GN60" si="102">GM9</f>
        <v>7.0339541634825835</v>
      </c>
      <c r="GO9" s="90">
        <v>3170.4</v>
      </c>
      <c r="GP9" s="90">
        <f t="shared" ref="GP9:GP55" si="103">GO9/12</f>
        <v>264.2</v>
      </c>
      <c r="GQ9" s="90">
        <f>2116.8+138.6</f>
        <v>2255.4</v>
      </c>
      <c r="GR9" s="90">
        <f t="shared" ref="GR9:GR60" si="104">GQ9/12</f>
        <v>187.95000000000002</v>
      </c>
      <c r="GS9" s="90">
        <f t="shared" ref="GS9:GS60" si="105">GP9+GR9</f>
        <v>452.15</v>
      </c>
      <c r="GT9" s="90">
        <f t="shared" ref="GT9:GT60" si="106">ROUND((GS9/$I9),2)</f>
        <v>0.7</v>
      </c>
      <c r="GU9" s="90">
        <v>3168.14</v>
      </c>
      <c r="GV9" s="90">
        <f>1755.68+115.72</f>
        <v>1871.4</v>
      </c>
      <c r="GW9" s="90">
        <f t="shared" ref="GW9:GW60" si="107">(GU9+GV9)/12</f>
        <v>419.96166666666664</v>
      </c>
      <c r="GX9" s="90">
        <f t="shared" ref="GX9:GX60" si="108">ROUND((GW9/$I9),2)</f>
        <v>0.65</v>
      </c>
      <c r="GY9" s="90">
        <v>5582.04</v>
      </c>
      <c r="GZ9" s="90">
        <f>1867.36+123.7</f>
        <v>1991.06</v>
      </c>
      <c r="HA9" s="90">
        <f t="shared" ref="HA9:HA60" si="109">(GY9+GZ9)/12</f>
        <v>631.0916666666667</v>
      </c>
      <c r="HB9" s="90">
        <f t="shared" ref="HB9:HB60" si="110">ROUND((HA9/$I9),2)</f>
        <v>0.97</v>
      </c>
      <c r="HC9" s="90">
        <v>5582.04</v>
      </c>
      <c r="HD9" s="90">
        <f>1867.36+123.7</f>
        <v>1991.06</v>
      </c>
      <c r="HE9" s="90">
        <f t="shared" ref="HE9:HE60" si="111">(HC9+HD9)/12</f>
        <v>631.0916666666667</v>
      </c>
      <c r="HF9" s="90">
        <f t="shared" ref="HF9:HF60" si="112">ROUND((HE9/$I9),2)</f>
        <v>0.97</v>
      </c>
      <c r="HG9" s="90"/>
      <c r="HH9" s="90"/>
      <c r="HI9" s="90">
        <v>0.96</v>
      </c>
      <c r="HJ9" s="90">
        <f t="shared" ref="HJ9:HJ60" si="113">$I9*HI9</f>
        <v>621.88799999999981</v>
      </c>
      <c r="HK9" s="90">
        <f t="shared" ref="HK9:HK60" si="114">HL9/I9</f>
        <v>1.0060821241123805</v>
      </c>
      <c r="HL9" s="90">
        <f t="shared" ref="HL9:HL45" si="115">ROUND((HJ9*1.048),2)</f>
        <v>651.74</v>
      </c>
      <c r="HM9" s="90">
        <v>1.07</v>
      </c>
      <c r="HN9" s="90">
        <f t="shared" ref="HN9:HN60" si="116">I9*HM9</f>
        <v>693.14599999999984</v>
      </c>
      <c r="HO9" s="90">
        <v>1.1499999999999999</v>
      </c>
      <c r="HP9" s="90">
        <f t="shared" ref="HP9:HP60" si="117">ROUND($I9*HO9,2)</f>
        <v>744.97</v>
      </c>
      <c r="HQ9" s="90">
        <v>1.1499999999999999</v>
      </c>
      <c r="HR9" s="90">
        <f t="shared" ref="HR9:HR60" si="118">HP9</f>
        <v>744.97</v>
      </c>
      <c r="HS9" s="90">
        <v>0.31922099999999998</v>
      </c>
      <c r="HT9" s="90">
        <f t="shared" ref="HT9:HT42" si="119">$I9*HS9</f>
        <v>206.79136379999994</v>
      </c>
      <c r="HU9" s="90" t="e">
        <f>HT9*#REF!</f>
        <v>#REF!</v>
      </c>
      <c r="HV9" s="90">
        <v>2.83</v>
      </c>
      <c r="HW9" s="90">
        <v>3.1</v>
      </c>
      <c r="HX9" s="90">
        <f t="shared" ref="HX9:HX60" si="120">$I9*HW9</f>
        <v>2008.1799999999996</v>
      </c>
      <c r="HY9" s="90">
        <v>1.06</v>
      </c>
      <c r="HZ9" s="90">
        <f t="shared" ref="HZ9:HZ60" si="121">HX9*HY9</f>
        <v>2128.6707999999999</v>
      </c>
      <c r="IA9" s="90">
        <f t="shared" ref="IA9:IA60" si="122">ROUND((HZ9/I9),2)</f>
        <v>3.29</v>
      </c>
      <c r="IB9" s="90">
        <f t="shared" ref="IB9:IB60" si="123">ROUND((IA9*1.048),2)</f>
        <v>3.45</v>
      </c>
      <c r="IC9" s="90">
        <f t="shared" ref="IC9:IC60" si="124">I9*IB9</f>
        <v>2234.9099999999994</v>
      </c>
      <c r="ID9" s="90">
        <f t="shared" ref="ID9:ID60" si="125">ROUND((IB9*1.055),2)</f>
        <v>3.64</v>
      </c>
      <c r="IE9" s="90">
        <f t="shared" ref="IE9:IE60" si="126">ROUND((I9*ID9),2)</f>
        <v>2357.9899999999998</v>
      </c>
      <c r="IF9" s="90">
        <f t="shared" ref="IF9:IF60" si="127">ROUND((IE9/$I9),2)</f>
        <v>3.64</v>
      </c>
      <c r="IG9" s="92">
        <f t="shared" ref="IG9:IG60" si="128">IE9*12</f>
        <v>28295.879999999997</v>
      </c>
      <c r="IH9" s="90">
        <v>3.91</v>
      </c>
      <c r="II9" s="90">
        <f t="shared" ref="II9:II60" si="129">ROUND(IH9*1.051,2)</f>
        <v>4.1100000000000003</v>
      </c>
      <c r="IJ9" s="90">
        <f t="shared" ref="IJ9:IJ60" si="130">ROUND((I9*II9),2)</f>
        <v>2662.46</v>
      </c>
      <c r="IK9" s="90">
        <f t="shared" ref="IK9:IK60" si="131">ROUND((IJ9/$I9),2)</f>
        <v>4.1100000000000003</v>
      </c>
      <c r="IL9" s="90">
        <f t="shared" ref="IL9:IL60" si="132">IJ9</f>
        <v>2662.46</v>
      </c>
      <c r="IM9" s="90">
        <f t="shared" ref="IM9:IM60" si="133">ROUND((IL9/$I9),2)</f>
        <v>4.1100000000000003</v>
      </c>
      <c r="IN9" s="90">
        <f t="shared" ref="IN9:IN60" si="134">IL9</f>
        <v>2662.46</v>
      </c>
      <c r="IO9" s="90">
        <f t="shared" ref="IO9:IO60" si="135">ROUND((IN9/$I9),2)</f>
        <v>4.1100000000000003</v>
      </c>
      <c r="IP9" s="93">
        <v>0.37052404126999999</v>
      </c>
      <c r="IQ9" s="90">
        <f t="shared" ref="IQ9:IQ60" si="136">$J9*IP9</f>
        <v>192.02037914776477</v>
      </c>
      <c r="IR9" s="90">
        <f t="shared" ref="IR9:IR60" si="137">IQ9*1.06</f>
        <v>203.54160189663068</v>
      </c>
      <c r="IS9" s="90">
        <v>108693.96</v>
      </c>
      <c r="IT9" s="90">
        <v>3053.33</v>
      </c>
      <c r="IU9" s="94"/>
      <c r="IV9" s="94"/>
      <c r="IW9" s="94">
        <v>1.697699125</v>
      </c>
      <c r="IX9" s="90">
        <f t="shared" ref="IX9:IX46" si="138">$J9*IW9</f>
        <v>879.81559453999978</v>
      </c>
      <c r="IY9" s="93">
        <v>0.56339614052999998</v>
      </c>
      <c r="IZ9" s="90">
        <f t="shared" ref="IZ9:IZ60" si="139">$I9*IY9</f>
        <v>364.96801983533391</v>
      </c>
      <c r="JA9" s="90">
        <f t="shared" ref="JA9:JA45" si="140">(ROUND((IZ9*1.048),2))+TB9</f>
        <v>382.49</v>
      </c>
      <c r="JB9" s="90">
        <f>I9*0.619655261</f>
        <v>401.41267807579993</v>
      </c>
      <c r="JC9" s="90">
        <f t="shared" ref="JC9:JC60" si="141">ROUND((JA9*1.055),2)</f>
        <v>403.53</v>
      </c>
      <c r="JD9" s="90">
        <f t="shared" ref="JD9:JD60" si="142">JB9/($LA9-$HN9)*($LG9-$HP9)</f>
        <v>426.76372624887665</v>
      </c>
      <c r="JE9" s="90">
        <f t="shared" ref="JE9:JE60" si="143">JD9</f>
        <v>426.76372624887665</v>
      </c>
      <c r="JF9" s="93">
        <v>4.2278943710000003E-2</v>
      </c>
      <c r="JG9" s="90">
        <f t="shared" ref="JG9:JG60" si="144">$J9*JF9</f>
        <v>21.910639788270398</v>
      </c>
      <c r="JH9" s="90">
        <f t="shared" ref="JH9:JH60" si="145">JG9*1.06</f>
        <v>23.225278175566622</v>
      </c>
      <c r="JI9" s="20">
        <v>462.98</v>
      </c>
      <c r="JJ9" s="20"/>
      <c r="JK9" s="20">
        <v>6.0564350000000003E-2</v>
      </c>
      <c r="JL9" s="90">
        <f t="shared" ref="JL9:JL46" si="146">$J9*JK9</f>
        <v>31.386868743999994</v>
      </c>
      <c r="JM9" s="93">
        <v>6.7347080040000007E-2</v>
      </c>
      <c r="JN9" s="90">
        <f t="shared" ref="JN9:JN60" si="147">$I9*JM9</f>
        <v>43.627438449911992</v>
      </c>
      <c r="JO9" s="90">
        <f t="shared" ref="JO9:JO45" si="148">ROUND((JN9*1.048),2)</f>
        <v>45.72</v>
      </c>
      <c r="JP9" s="90">
        <f>I9*0.074065993</f>
        <v>47.979950265399985</v>
      </c>
      <c r="JQ9" s="90">
        <f t="shared" ref="JQ9:JQ60" si="149">ROUND((JO9*1.055),2)</f>
        <v>48.23</v>
      </c>
      <c r="JR9" s="90">
        <f t="shared" ref="JR9:JR60" si="150">JP9/($LA9-$HN9)*($LG9-$HP9)</f>
        <v>51.010103763168424</v>
      </c>
      <c r="JS9" s="90">
        <f t="shared" ref="JS9:JS60" si="151">JR9</f>
        <v>51.010103763168424</v>
      </c>
      <c r="JT9" s="93">
        <v>7.3220517000000002E-3</v>
      </c>
      <c r="JU9" s="90">
        <f t="shared" ref="JU9:JU60" si="152">$J9*JT9</f>
        <v>3.7945800730079995</v>
      </c>
      <c r="JV9" s="90">
        <f t="shared" ref="JV9:JV45" si="153">ROUND((JU9*1.048),2)</f>
        <v>3.98</v>
      </c>
      <c r="JW9" s="90">
        <f>I9*0.006441929</f>
        <v>4.1730816061999985</v>
      </c>
      <c r="JX9" s="90">
        <f t="shared" ref="JX9:JX60" si="154">ROUND((JV9*1.055),2)</f>
        <v>4.2</v>
      </c>
      <c r="JY9" s="90">
        <f t="shared" ref="JY9:JY60" si="155">JW9/($LA9-$HN9)*($LG9-$HP9)</f>
        <v>4.4366308128072189</v>
      </c>
      <c r="JZ9" s="90">
        <f t="shared" ref="JZ9:JZ60" si="156">JY9</f>
        <v>4.4366308128072189</v>
      </c>
      <c r="KA9" s="90">
        <v>8.3091099999999998E-3</v>
      </c>
      <c r="KB9" s="90">
        <f t="shared" ref="KB9:KB46" si="157">$J9*KA9</f>
        <v>4.3061131663999994</v>
      </c>
      <c r="KC9" s="90" t="e">
        <f>KB9*#REF!</f>
        <v>#REF!</v>
      </c>
      <c r="KD9" s="90">
        <v>34406.519999999997</v>
      </c>
      <c r="KE9" s="90">
        <v>40292.97</v>
      </c>
      <c r="KF9" s="90"/>
      <c r="KG9" s="90">
        <f t="shared" ref="KG9:KG18" si="158">I9/KD9*KE9</f>
        <v>758.62906117793943</v>
      </c>
      <c r="KH9" s="90" t="e">
        <f>KG9/(BW9+#REF!)*(CB9+#REF!)</f>
        <v>#REF!</v>
      </c>
      <c r="KI9" s="90">
        <v>0.8</v>
      </c>
      <c r="KJ9" s="94"/>
      <c r="KK9" s="90">
        <f t="shared" ref="KK9:KK60" si="159">$I9*KJ9</f>
        <v>0</v>
      </c>
      <c r="KL9" s="93">
        <v>1.1147001000000001</v>
      </c>
      <c r="KM9" s="90">
        <f t="shared" ref="KM9:KM42" si="160">$I9*KL9</f>
        <v>722.1027247799999</v>
      </c>
      <c r="KN9" s="90">
        <f t="shared" ref="KN9:KN60" si="161">KM9*1.06</f>
        <v>765.42888826679996</v>
      </c>
      <c r="KO9" s="90" t="e">
        <f>BW9+CN9+DC9+DS9+EG9+EV9+FK9+GB9+#REF!+#REF!+HJ9+HX9+IQ9+JG9+JU9+KK9+KM9</f>
        <v>#REF!</v>
      </c>
      <c r="KP9" s="90"/>
      <c r="KQ9" s="90">
        <v>0.50814739200000003</v>
      </c>
      <c r="KR9" s="90">
        <f t="shared" ref="KR9:KR14" si="162">I9*KQ9</f>
        <v>329.17788053759995</v>
      </c>
      <c r="KS9" s="90">
        <v>0.71072749999999996</v>
      </c>
      <c r="KT9" s="90">
        <f t="shared" ref="KT9:KT45" si="163">KR9*KS9</f>
        <v>233.95577208978705</v>
      </c>
      <c r="KU9" s="90">
        <f t="shared" ref="KU9:KU45" si="164">KT9/$SA9*$SB9</f>
        <v>353.7705465925867</v>
      </c>
      <c r="KV9" s="90">
        <f t="shared" ref="KV9:KV45" si="165">ROUND((KU9*1.048),2)</f>
        <v>370.75</v>
      </c>
      <c r="KW9" s="90">
        <f>I9*0.600637005</f>
        <v>389.09265183899987</v>
      </c>
      <c r="KX9" s="90">
        <f t="shared" ref="KX9:KX60" si="166">ROUND((KV9*1.055),2)</f>
        <v>391.14</v>
      </c>
      <c r="KY9" s="90">
        <f t="shared" ref="KY9:KY60" si="167">KW9/($LA9-$HN9)*($LG9-$HP9)</f>
        <v>413.66563395766138</v>
      </c>
      <c r="KZ9" s="90">
        <f t="shared" ref="KZ9:KZ60" si="168">KY9</f>
        <v>413.66563395766138</v>
      </c>
      <c r="LA9" s="90">
        <f t="shared" ref="LA9:LA60" si="169">CI9+CX9+DN9+EB9+EQ9+FF9+FW9+GK9+HN9+JB9+JP9+JW9+KW9</f>
        <v>2539.3779978151993</v>
      </c>
      <c r="LB9" s="90">
        <f t="shared" ref="LB9:LB60" si="170">ROUND((LA9/$I9),2)</f>
        <v>3.92</v>
      </c>
      <c r="LC9" s="92">
        <f t="shared" ref="LC9:LC60" si="171">LA9*12</f>
        <v>30472.535973782389</v>
      </c>
      <c r="LD9" s="92">
        <v>4.21</v>
      </c>
      <c r="LE9" s="92">
        <v>2727.24</v>
      </c>
      <c r="LF9" s="90">
        <f t="shared" ref="LF9:LF60" si="172">ROUND(ROUND(LD9-0.23,2)*1.051,2)</f>
        <v>4.18</v>
      </c>
      <c r="LG9" s="90">
        <f t="shared" ref="LG9:LG60" si="173">ROUND(I9*LF9,2)</f>
        <v>2707.8</v>
      </c>
      <c r="LH9" s="90">
        <f t="shared" ref="LH9:LH60" si="174">LA9*1.075</f>
        <v>2729.831347651339</v>
      </c>
      <c r="LI9" s="90">
        <f t="shared" ref="LI9:LI60" si="175">ROUND((LH9/$I9),2)</f>
        <v>4.21</v>
      </c>
      <c r="LJ9" s="90">
        <f t="shared" ref="LJ9:LJ60" si="176">CK9+CZ9+DP9+ED9+ES9+FH9+FY9+GM9+HP9+JD9+JR9+JY9+KY9</f>
        <v>2707.8</v>
      </c>
      <c r="LK9" s="90">
        <f t="shared" ref="LK9:LK60" si="177">ROUND((LJ9/$I9),2)</f>
        <v>4.18</v>
      </c>
      <c r="LL9" s="90">
        <f t="shared" ref="LL9:LL60" si="178">LJ9</f>
        <v>2707.8</v>
      </c>
      <c r="LM9" s="90">
        <f t="shared" ref="LM9:LM60" si="179">ROUND((LL9/$I9),2)</f>
        <v>4.18</v>
      </c>
      <c r="LN9" s="95">
        <v>0.46</v>
      </c>
      <c r="LO9" s="95">
        <f t="shared" ref="LO9:LO60" si="180">ROUND(($I9*LN9),2)</f>
        <v>297.99</v>
      </c>
      <c r="LP9" s="95"/>
      <c r="LQ9" s="95">
        <f t="shared" ref="LQ9:LQ60" si="181">ROUND(($I9*LP9),2)</f>
        <v>0</v>
      </c>
      <c r="LR9" s="90"/>
      <c r="LS9" s="90"/>
      <c r="LT9" s="90">
        <f t="shared" ref="LT9:LT60" si="182">ROUND((LS9*1.048),2)</f>
        <v>0</v>
      </c>
      <c r="LU9" s="90"/>
      <c r="LV9" s="90">
        <f t="shared" ref="LV9:LV60" si="183">ROUND((LT9*1.055),2)</f>
        <v>0</v>
      </c>
      <c r="LW9" s="90">
        <f t="shared" ref="LW9:LW60" si="184">LV9*1.074</f>
        <v>0</v>
      </c>
      <c r="LX9" s="90"/>
      <c r="LY9" s="90"/>
      <c r="LZ9" s="90">
        <f t="shared" ref="LZ9:LZ60" si="185">ROUND((LY9*1.048),2)</f>
        <v>0</v>
      </c>
      <c r="MA9" s="90"/>
      <c r="MB9" s="90">
        <f t="shared" ref="MB9:MB60" si="186">ROUND((LZ9*1.055),2)</f>
        <v>0</v>
      </c>
      <c r="MC9" s="90">
        <f t="shared" ref="MC9:MC60" si="187">MB9*1.074</f>
        <v>0</v>
      </c>
      <c r="MD9" s="90"/>
      <c r="ME9" s="90"/>
      <c r="MF9" s="90">
        <f t="shared" ref="MF9:MF60" si="188">ROUND((ME9*1.048),2)</f>
        <v>0</v>
      </c>
      <c r="MG9" s="90"/>
      <c r="MH9" s="90">
        <f t="shared" ref="MH9:MH60" si="189">ROUND((MF9*1.055),2)</f>
        <v>0</v>
      </c>
      <c r="MI9" s="90">
        <f t="shared" ref="MI9:MI60" si="190">MH9*1.074</f>
        <v>0</v>
      </c>
      <c r="MJ9" s="90"/>
      <c r="MK9" s="90"/>
      <c r="ML9" s="90">
        <f t="shared" ref="ML9:ML60" si="191">ROUND((MK9*1.048),2)</f>
        <v>0</v>
      </c>
      <c r="MM9" s="90"/>
      <c r="MN9" s="90">
        <f t="shared" ref="MN9:MN60" si="192">ROUND((ML9*1.055),2)</f>
        <v>0</v>
      </c>
      <c r="MO9" s="90">
        <f t="shared" ref="MO9:MO60" si="193">MN9*1.074</f>
        <v>0</v>
      </c>
      <c r="MP9" s="90">
        <f t="shared" ref="MP9:MP60" si="194">LV9+MB9+MH9+MN9</f>
        <v>0</v>
      </c>
      <c r="MQ9" s="90">
        <f t="shared" ref="MQ9:MQ60" si="195">ROUND((MP9/$I9),2)</f>
        <v>0</v>
      </c>
      <c r="MR9" s="90">
        <f t="shared" ref="MR9:MR60" si="196">LW9+MC9+MI9+MO9</f>
        <v>0</v>
      </c>
      <c r="MS9" s="90">
        <f t="shared" ref="MS9:MS60" si="197">ROUND((MR9/$I9),2)</f>
        <v>0</v>
      </c>
      <c r="MT9" s="95"/>
      <c r="MU9" s="95">
        <f t="shared" ref="MU9:MU60" si="198">ROUND(($I9*MT9),2)</f>
        <v>0</v>
      </c>
      <c r="MV9" s="92">
        <f t="shared" ref="MV9:MV60" si="199">MU9*12</f>
        <v>0</v>
      </c>
      <c r="MW9" s="95"/>
      <c r="MX9" s="95">
        <f t="shared" ref="MX9:MX60" si="200">ROUND(($I9*MW9),2)</f>
        <v>0</v>
      </c>
      <c r="MY9" s="95"/>
      <c r="MZ9" s="95">
        <f t="shared" ref="MZ9:MZ60" si="201">ROUND(($I9*MY9),2)</f>
        <v>0</v>
      </c>
      <c r="NA9" s="95"/>
      <c r="NB9" s="95">
        <f t="shared" ref="NB9:NB60" si="202">ROUND(($I9*NA9),2)</f>
        <v>0</v>
      </c>
      <c r="NC9" s="92">
        <f t="shared" ref="NC9:NC60" si="203">NB9*12</f>
        <v>0</v>
      </c>
      <c r="ND9" s="95"/>
      <c r="NE9" s="95">
        <f t="shared" ref="NE9:NE60" si="204">ROUND(($I9*ND9),2)</f>
        <v>0</v>
      </c>
      <c r="NF9" s="95"/>
      <c r="NG9" s="95">
        <f t="shared" ref="NG9:NG60" si="205">ROUND(($I9*NF9),2)</f>
        <v>0</v>
      </c>
      <c r="NH9" s="95"/>
      <c r="NI9" s="95"/>
      <c r="NJ9" s="95">
        <f t="shared" ref="NJ9:NJ60" si="206">ROUND(($I9*NI9),2)</f>
        <v>0</v>
      </c>
      <c r="NK9" s="92">
        <f t="shared" ref="NK9:NK60" si="207">NJ9*12</f>
        <v>0</v>
      </c>
      <c r="NL9" s="95"/>
      <c r="NM9" s="95">
        <f t="shared" ref="NM9:NM60" si="208">ROUND(($I9*NL9),2)</f>
        <v>0</v>
      </c>
      <c r="NN9" s="95"/>
      <c r="NO9" s="95">
        <f t="shared" ref="NO9:NO60" si="209">ROUND(($I9*NN9),2)</f>
        <v>0</v>
      </c>
      <c r="NP9" s="95"/>
      <c r="NQ9" s="95">
        <f t="shared" ref="NQ9:NQ60" si="210">ROUND(($I9*NP9),2)</f>
        <v>0</v>
      </c>
      <c r="NR9" s="92">
        <f t="shared" ref="NR9:NR60" si="211">NQ9*12</f>
        <v>0</v>
      </c>
      <c r="NS9" s="95"/>
      <c r="NT9" s="95">
        <f t="shared" ref="NT9:NT60" si="212">ROUND(($I9*NS9),2)</f>
        <v>0</v>
      </c>
      <c r="NU9" s="95"/>
      <c r="NV9" s="95">
        <f t="shared" ref="NV9:NV60" si="213">ROUND(($I9*NU9),2)</f>
        <v>0</v>
      </c>
      <c r="NW9" s="95"/>
      <c r="NX9" s="95">
        <f t="shared" ref="NX9:NX60" si="214">ROUND(($I9*NW9),2)</f>
        <v>0</v>
      </c>
      <c r="NY9" s="92">
        <f t="shared" ref="NY9:NY60" si="215">NX9*12</f>
        <v>0</v>
      </c>
      <c r="NZ9" s="95"/>
      <c r="OA9" s="95">
        <f t="shared" ref="OA9:OA60" si="216">ROUND(($I9*NZ9),2)</f>
        <v>0</v>
      </c>
      <c r="OB9" s="95"/>
      <c r="OC9" s="95">
        <f t="shared" ref="OC9:OC60" si="217">ROUND(($I9*OB9),2)</f>
        <v>0</v>
      </c>
      <c r="OD9" s="90">
        <v>3355.6</v>
      </c>
      <c r="OE9" s="90">
        <f t="shared" ref="OE9:OE60" si="218">ROUND((OD9/$I9),2)</f>
        <v>5.18</v>
      </c>
      <c r="OF9" s="92">
        <f t="shared" ref="OF9:OF60" si="219">OD9*12</f>
        <v>40267.199999999997</v>
      </c>
      <c r="OG9" s="96">
        <v>891.85</v>
      </c>
      <c r="OH9" s="96">
        <v>1.38</v>
      </c>
      <c r="OI9" s="90">
        <v>4253.5</v>
      </c>
      <c r="OJ9" s="90">
        <f t="shared" ref="OJ9:OJ60" si="220">ROUND((OI9/$I9),2)</f>
        <v>6.57</v>
      </c>
      <c r="OK9" s="90">
        <f t="shared" ref="OK9:OK60" si="221">AX9+OD9</f>
        <v>4247.45</v>
      </c>
      <c r="OL9" s="90">
        <f t="shared" ref="OL9:OL60" si="222">ROUND((OK9/$I9),2)</f>
        <v>6.56</v>
      </c>
      <c r="OM9" s="90">
        <f t="shared" ref="OM9:OM60" si="223">OJ9-OL9</f>
        <v>1.0000000000000675E-2</v>
      </c>
      <c r="ON9" s="90">
        <v>3358.71</v>
      </c>
      <c r="OO9" s="90">
        <f t="shared" ref="OO9:OO60" si="224">ROUND((ON9/$I9),2)</f>
        <v>5.18</v>
      </c>
      <c r="OP9" s="90">
        <v>3361.65</v>
      </c>
      <c r="OQ9" s="90">
        <v>5.18</v>
      </c>
      <c r="OR9" s="90">
        <f t="shared" ref="OR9:OR60" si="225">OO9-OQ9</f>
        <v>0</v>
      </c>
      <c r="OS9" s="90">
        <f t="shared" ref="OS9:OS60" si="226">OJ9-VB9</f>
        <v>5.19</v>
      </c>
      <c r="OT9" s="90">
        <v>3358.71</v>
      </c>
      <c r="OU9" s="90">
        <f t="shared" ref="OU9:OU60" si="227">ROUND((OT9/$I9),2)</f>
        <v>5.18</v>
      </c>
      <c r="OV9" s="97">
        <v>2707.8</v>
      </c>
      <c r="OW9" s="90">
        <f t="shared" ref="OW9:OW49" si="228">ROUND((I9*OY9),2)</f>
        <v>4910.32</v>
      </c>
      <c r="OX9" s="90">
        <f t="shared" ref="OX9:OX60" si="229">ROUND((OW9/$I9),2)</f>
        <v>7.58</v>
      </c>
      <c r="OY9" s="90">
        <f>OU9-1+3.4</f>
        <v>7.58</v>
      </c>
      <c r="OZ9" s="90"/>
      <c r="PA9" s="90"/>
      <c r="PB9" s="95">
        <f t="shared" ref="PB9:PB60" si="230">ROUND(($I9*PA9),2)</f>
        <v>0</v>
      </c>
      <c r="PC9" s="92">
        <f t="shared" ref="PC9:PC60" si="231">PB9*12</f>
        <v>0</v>
      </c>
      <c r="PD9" s="90"/>
      <c r="PE9" s="95">
        <f t="shared" ref="PE9:PE60" si="232">ROUND(($I9*PD9),2)</f>
        <v>0</v>
      </c>
      <c r="PF9" s="90">
        <f t="shared" ref="PF9:PF60" si="233">AX9+GP9+GR9+IE9+LA9+LV9+MB9+MH9+MN9+NJ9+NQ9+NX9+OD9+PB9</f>
        <v>9596.9679978151999</v>
      </c>
      <c r="PG9" s="90">
        <f t="shared" ref="PG9:PG60" si="234">ROUND((PF9/$I9),2)</f>
        <v>14.81</v>
      </c>
      <c r="PH9" s="90">
        <f t="shared" ref="PH9:PH60" si="235">BH9+HA9+IJ9+LJ9+LO9+LQ9+LW9+MC9+MI9+MO9+MX9+NE9+NM9+NT9+OA9+OW9+PE9</f>
        <v>13137.341666666667</v>
      </c>
      <c r="PI9" s="90">
        <f t="shared" ref="PI9:PI60" si="236">ROUND((PH9/$I9),2)</f>
        <v>20.28</v>
      </c>
      <c r="PJ9" s="90">
        <f t="shared" ref="PJ9:PJ60" si="237">BK9+HA9+IL9+LL9+LO9+LQ9+LW9+MC9+MI9+MO9+MX9+NE9+NM9+NT9+OA9+OW9+PE9</f>
        <v>13137.341666666667</v>
      </c>
      <c r="PK9" s="90">
        <f t="shared" ref="PK9:PK60" si="238">ROUND((PJ9/$I9),2)</f>
        <v>20.28</v>
      </c>
      <c r="PL9" s="90"/>
      <c r="PM9" s="90">
        <f t="shared" ref="PM9:PM60" si="239">ROUND((PF9*3%),2)</f>
        <v>287.91000000000003</v>
      </c>
      <c r="PN9" s="90">
        <f t="shared" ref="PN9:PN60" si="240">ROUND((PM9/$I9),2)</f>
        <v>0.44</v>
      </c>
      <c r="PO9" s="92">
        <f t="shared" ref="PO9:PO60" si="241">PM9*12</f>
        <v>3454.92</v>
      </c>
      <c r="PP9" s="90">
        <f t="shared" ref="PP9:PP60" si="242">ROUND((PH9*3%),2)</f>
        <v>394.12</v>
      </c>
      <c r="PQ9" s="90">
        <f t="shared" ref="PQ9:PQ60" si="243">ROUND((PP9/$I9),2)</f>
        <v>0.61</v>
      </c>
      <c r="PR9" s="90">
        <f t="shared" ref="PR9:PR60" si="244">ROUND((PJ9*3%),2)</f>
        <v>394.12</v>
      </c>
      <c r="PS9" s="90">
        <f t="shared" ref="PS9:PS60" si="245">ROUND((PR9/$I9),2)</f>
        <v>0.61</v>
      </c>
      <c r="PT9" s="90">
        <f t="shared" ref="PT9:PT60" si="246">PF9+PM9</f>
        <v>9884.8779978151997</v>
      </c>
      <c r="PU9" s="90">
        <f t="shared" ref="PU9:PU60" si="247">ROUND((PT9/$I9),2)</f>
        <v>15.26</v>
      </c>
      <c r="PV9" s="90">
        <f t="shared" ref="PV9:PV60" si="248">PH9+PP9</f>
        <v>13531.461666666668</v>
      </c>
      <c r="PW9" s="90">
        <f t="shared" ref="PW9:PW60" si="249">ROUND((PV9/$I9),2)</f>
        <v>20.89</v>
      </c>
      <c r="PX9" s="90">
        <f t="shared" ref="PX9:PX60" si="250">PJ9+PR9</f>
        <v>13531.461666666668</v>
      </c>
      <c r="PY9" s="90">
        <f t="shared" ref="PY9:PY60" si="251">ROUND((PX9/$I9),2)</f>
        <v>20.89</v>
      </c>
      <c r="PZ9" s="90">
        <f t="shared" ref="PZ9:PZ59" si="252">ROUND((PT9*1/99),2)</f>
        <v>99.85</v>
      </c>
      <c r="QA9" s="90">
        <f t="shared" ref="QA9:QA60" si="253">ROUND((PZ9/$I9),2)</f>
        <v>0.15</v>
      </c>
      <c r="QB9" s="92">
        <f t="shared" ref="QB9:QB60" si="254">PZ9*12</f>
        <v>1198.1999999999998</v>
      </c>
      <c r="QC9" s="90">
        <f t="shared" ref="QC9:QC60" si="255">ROUND((PV9*1/99),2)</f>
        <v>136.68</v>
      </c>
      <c r="QD9" s="90">
        <f t="shared" ref="QD9:QD60" si="256">ROUND((QC9/$I9),2)</f>
        <v>0.21</v>
      </c>
      <c r="QE9" s="90">
        <f t="shared" ref="QE9:QE60" si="257">ROUND((PX9*1/99),2)</f>
        <v>136.68</v>
      </c>
      <c r="QF9" s="90">
        <f t="shared" ref="QF9:QF60" si="258">ROUND((QE9/$I9),2)</f>
        <v>0.21</v>
      </c>
      <c r="QG9" s="90">
        <f t="shared" ref="QG9:QG60" si="259">PT9+PZ9</f>
        <v>9984.7279978152001</v>
      </c>
      <c r="QH9" s="90">
        <f t="shared" ref="QH9:QH60" si="260">ROUND((QG9/$I9),2)</f>
        <v>15.41</v>
      </c>
      <c r="QI9" s="92">
        <f t="shared" ref="QI9:QI60" si="261">QG9*12</f>
        <v>119816.7359737824</v>
      </c>
      <c r="QJ9" s="90">
        <f t="shared" ref="QJ9:QJ60" si="262">KW9+LS9+LY9+ME9+MK9+MN9+QH9</f>
        <v>404.5026518389999</v>
      </c>
      <c r="QK9" s="98">
        <f t="shared" ref="QK9:QK60" si="263">(QP9-QM9)+QO9</f>
        <v>0.25169999999999998</v>
      </c>
      <c r="QL9" s="90">
        <f t="shared" ref="QL9:QL60" si="264">I9*QK9</f>
        <v>163.05125999999996</v>
      </c>
      <c r="QM9" s="90">
        <f t="shared" ref="QM9:QM60" si="265">TQ9*1%</f>
        <v>0.1128</v>
      </c>
      <c r="QN9" s="90">
        <f t="shared" ref="QN9:QN60" si="266">I9*QM9</f>
        <v>73.07183999999998</v>
      </c>
      <c r="QO9" s="90">
        <v>0.21869999999999998</v>
      </c>
      <c r="QP9" s="90">
        <v>0.14579999999999999</v>
      </c>
      <c r="QQ9" s="97">
        <f t="shared" ref="QQ9:QQ60" si="267">QL9+QN9</f>
        <v>236.12309999999994</v>
      </c>
      <c r="QR9" s="97">
        <v>236.34179999999992</v>
      </c>
      <c r="QS9" s="97">
        <f t="shared" ref="QS9:QS60" si="268">QQ9-QR9</f>
        <v>-0.21869999999998413</v>
      </c>
      <c r="QT9" s="90"/>
      <c r="QU9" s="90">
        <f t="shared" ref="QU9:QU60" si="269">TQ9*1%</f>
        <v>0.1128</v>
      </c>
      <c r="QV9" s="90">
        <f t="shared" ref="QV9:QV60" si="270">I9*QU9</f>
        <v>73.07183999999998</v>
      </c>
      <c r="QW9" s="90">
        <f t="shared" ref="QW9:QW60" si="271">QL9+QN9</f>
        <v>236.12309999999994</v>
      </c>
      <c r="QX9" s="90">
        <f t="shared" ref="QX9:QX60" si="272">QW9/I9</f>
        <v>0.36449999999999999</v>
      </c>
      <c r="QY9" s="90"/>
      <c r="QZ9" s="90"/>
      <c r="RA9" s="90"/>
      <c r="RB9" s="90">
        <v>2413.15</v>
      </c>
      <c r="RC9" s="97">
        <f t="shared" ref="RC9:RC60" si="273">QG9-PB9</f>
        <v>9984.7279978152001</v>
      </c>
      <c r="RD9" s="97">
        <f t="shared" ref="RD9:RD60" si="274">ROUND((RC9/$I9),2)</f>
        <v>15.41</v>
      </c>
      <c r="RE9" s="90">
        <f t="shared" ref="RE9:RE60" si="275">PV9+QC9</f>
        <v>13668.141666666668</v>
      </c>
      <c r="RF9" s="90">
        <f t="shared" ref="RF9:RF60" si="276">ROUND((RE9/$I9),2)</f>
        <v>21.1</v>
      </c>
      <c r="RG9" s="90">
        <f t="shared" ref="RG9:RG60" si="277">RF9/(VX9+WC9)*100</f>
        <v>136.92407527579496</v>
      </c>
      <c r="RH9" s="90">
        <f t="shared" ref="RH9:RH60" si="278">PX9+QE9</f>
        <v>13668.141666666668</v>
      </c>
      <c r="RI9" s="90">
        <f t="shared" ref="RI9:RI60" si="279">ROUND((RH9/$I9),2)</f>
        <v>21.1</v>
      </c>
      <c r="RJ9" s="90">
        <v>17.270000000000003</v>
      </c>
      <c r="RK9" s="90">
        <v>0</v>
      </c>
      <c r="RL9" s="90">
        <f t="shared" ref="RL9:RL60" si="280">RI9-RJ9-RK9</f>
        <v>3.8299999999999983</v>
      </c>
      <c r="RM9" s="90">
        <f t="shared" ref="RM9:RM60" si="281">(ACI9+ACN9)/(ACP9+ACS9)*100</f>
        <v>128.03398058252429</v>
      </c>
      <c r="RN9" s="90">
        <f t="shared" ref="RN9:RN60" si="282">AC9+AX9+GR9+IE9+LV9+MB9+MH9+MN9+SQ9+TI9+TK9+TM9</f>
        <v>6412.0879978151988</v>
      </c>
      <c r="RO9" s="90"/>
      <c r="RP9" s="90"/>
      <c r="RQ9" s="99">
        <v>244</v>
      </c>
      <c r="RR9" s="90">
        <f t="shared" ref="RR9:RR60" si="283">AX9+GS9+IE9+LA9+LV9+MB9+MH9+MN9+NJ9+NQ9+NX9+PM9+PZ9</f>
        <v>6629.1279978151997</v>
      </c>
      <c r="RS9" s="90">
        <f t="shared" ref="RS9:RS60" si="284">RR9/I9</f>
        <v>10.233294223240508</v>
      </c>
      <c r="RT9" s="90">
        <v>11.28</v>
      </c>
      <c r="RU9" s="90">
        <f t="shared" ref="RU9:RU60" si="285">I9*RT9</f>
        <v>7307.1839999999975</v>
      </c>
      <c r="RV9" s="90">
        <f t="shared" ref="RV9:RV60" si="286">QJ9/I9</f>
        <v>0.62442521123649275</v>
      </c>
      <c r="RW9" s="100">
        <v>10.43</v>
      </c>
      <c r="RX9" s="90">
        <f t="shared" ref="RX9:RX60" si="287">RW9*1.05</f>
        <v>10.951499999999999</v>
      </c>
      <c r="RY9" s="90">
        <f t="shared" ref="RY9:RY60" si="288">I9*RX9</f>
        <v>7094.3816999999981</v>
      </c>
      <c r="RZ9" s="90">
        <f t="shared" ref="RZ9:RZ60" si="289">CD9+CT9+DJ9+DY9+EM9+FB9+FQ9+GH9+HJ9+IZ9+JN9+JU9+KT9</f>
        <v>1871.6509353001356</v>
      </c>
      <c r="SA9" s="90">
        <f t="shared" ref="SA9:SA60" si="290">RZ9-HJ9-IZ9-JN9-JU9</f>
        <v>837.37289694188178</v>
      </c>
      <c r="SB9" s="90">
        <f t="shared" ref="SB9:SB60" si="291">SD9-HJ9-IZ9-JN9-JU9</f>
        <v>1266.2131171495857</v>
      </c>
      <c r="SC9" s="90">
        <f t="shared" ref="SC9:SC60" si="292">CE9+CU9+DK9+DZ9+EN9+FC9+FR9+GI9+HJ9+IZ9+JN9+JU9+KU9</f>
        <v>2300.4911555078397</v>
      </c>
      <c r="SD9" s="90">
        <f t="shared" ref="SD9:SD60" si="293">CB9+CR9+DH9+DW9+EK9+EZ9+FO9+GF9+HT9+IX9+JL9+KB9+KR9</f>
        <v>2300.4911555078397</v>
      </c>
      <c r="SE9" s="90">
        <f t="shared" ref="SE9:SE60" si="294">CG9+CW9+DM9+DZ9+EP9+FE9+FV9+GI9+HJ9+IZ9+JN9+JU9+KU9</f>
        <v>2335.1488868880579</v>
      </c>
      <c r="SF9" s="90">
        <f t="shared" ref="SF9:SF60" si="295">CF9+CV9+DL9+DZ9+EO9+FD9+FS9+GI9+HJ9+IZ9+JN9+JU9+KU9</f>
        <v>2300.3582619703775</v>
      </c>
      <c r="SG9" s="90">
        <f t="shared" ref="SG9:SG60" si="296">SC9-SF9</f>
        <v>0.13289353746222332</v>
      </c>
      <c r="SH9" s="90">
        <f t="shared" ref="SH9:SH60" si="297">CF9+CV9+DL9+DZ9+EO9+FD9+FU9+GI9+HJ9+IZ9+JN9+JU9+KU9</f>
        <v>2300.4911552900576</v>
      </c>
      <c r="SI9" s="90">
        <f t="shared" ref="SI9:SI60" si="298">SD9/I9</f>
        <v>3.5512367328000005</v>
      </c>
      <c r="SJ9" s="90">
        <f t="shared" ref="SJ9:SJ60" si="299">SF9/I9</f>
        <v>3.5510315868638131</v>
      </c>
      <c r="SK9" s="90"/>
      <c r="SL9" s="90"/>
      <c r="SM9" s="90"/>
      <c r="SN9" s="90">
        <f t="shared" ref="SN9:SN60" si="300">CJ9+CY9+DO9+EA9+ER9+FG9+FX9+GJ9+HL9+JA9+JO9+JV9+KV9</f>
        <v>2462.91</v>
      </c>
      <c r="SO9" s="90" t="e">
        <f>RU9-#REF!-#REF!-HZ9-LT9-LZ9-MF9-ML9-QL9-QN9-SD9</f>
        <v>#REF!</v>
      </c>
      <c r="SP9" s="90">
        <f t="shared" ref="SP9:SP60" si="301">CH9+CW9+DM9+EA9+EP9+FE9+FV9+GJ9+HL9+JA9+JO9+JV9+KV9</f>
        <v>2410.92</v>
      </c>
      <c r="SQ9" s="90">
        <f t="shared" ref="SQ9:SQ60" si="302">CI9+CX9+DN9+EB9+EQ9+FF9+FW9+GK9+HN9+JB9+JP9+JW9+KW9</f>
        <v>2539.3779978151993</v>
      </c>
      <c r="SR9" s="90">
        <f t="shared" ref="SR9:SR60" si="303">SP9/I9</f>
        <v>3.7217042297005261</v>
      </c>
      <c r="SS9" s="90">
        <f t="shared" ref="SS9:SS60" si="304">SQ9/I9</f>
        <v>3.9200030839999997</v>
      </c>
      <c r="ST9" s="90">
        <f t="shared" ref="ST9:ST60" si="305">CJ9+CY9+DO9+EC9+ER9+FG9+FX9+GL9+HN9+JC9+JQ9+JX9+KX9</f>
        <v>2549.0759999999991</v>
      </c>
      <c r="SU9" s="90">
        <v>3.7216995681677987</v>
      </c>
      <c r="SV9" s="90">
        <f t="shared" ref="SV9:SV60" si="306">ROUND((ST9/I9),2)</f>
        <v>3.93</v>
      </c>
      <c r="SW9" s="90">
        <v>3.92</v>
      </c>
      <c r="SX9" s="90">
        <f t="shared" ref="SX9:SX60" si="307">ROUND((I9*SW9),2)</f>
        <v>2539.38</v>
      </c>
      <c r="SY9" s="90">
        <v>3.7216995681677987</v>
      </c>
      <c r="SZ9" s="90">
        <f t="shared" ref="SZ9:SZ60" si="308">I9*SY9</f>
        <v>2410.9169802590995</v>
      </c>
      <c r="TA9" s="90">
        <f t="shared" ref="TA9:TA60" si="309">SZ9-SP9</f>
        <v>-3.0197409005268128E-3</v>
      </c>
      <c r="TB9" s="90">
        <v>0</v>
      </c>
      <c r="TC9" s="90">
        <f t="shared" ref="TC9:TC60" si="310">RU9-AX9-GR9-IC9-LT9-LZ9-MF9-ML9-QL9-QN9-SP9</f>
        <v>1345.430899999998</v>
      </c>
      <c r="TD9" s="90" t="e">
        <f>#REF!+#REF!</f>
        <v>#REF!</v>
      </c>
      <c r="TE9" s="90" t="e">
        <f t="shared" ref="TE9:TE60" si="311">TC9+TD9</f>
        <v>#REF!</v>
      </c>
      <c r="TF9" s="90">
        <v>1187.1068666666656</v>
      </c>
      <c r="TG9" s="90">
        <f t="shared" ref="TG9:TG60" si="312">TC9/RU9*100</f>
        <v>18.412440414802727</v>
      </c>
      <c r="TH9" s="95"/>
      <c r="TI9" s="95"/>
      <c r="TJ9" s="95"/>
      <c r="TK9" s="95"/>
      <c r="TL9" s="95"/>
      <c r="TM9" s="95">
        <f t="shared" ref="TM9:TM60" si="313">I9*TL9</f>
        <v>0</v>
      </c>
      <c r="TN9" s="95">
        <f t="shared" ref="TN9:TN60" si="314">RU9+TI9+TK9+TM9</f>
        <v>7307.1839999999975</v>
      </c>
      <c r="TO9" s="95">
        <f t="shared" ref="TO9:TO60" si="315">TC9/TN9*100</f>
        <v>18.412440414802727</v>
      </c>
      <c r="TP9" s="95"/>
      <c r="TQ9" s="95">
        <f t="shared" ref="TQ9:TQ60" si="316">RT9+TH9+TJ9+TL9+UB9</f>
        <v>11.28</v>
      </c>
      <c r="TR9" s="95"/>
      <c r="TS9" s="95"/>
      <c r="TT9" s="95"/>
      <c r="TU9" s="95"/>
      <c r="TV9" s="95"/>
      <c r="TW9" s="95"/>
      <c r="TX9" s="95"/>
      <c r="TY9" s="95"/>
      <c r="TZ9" s="95">
        <f t="shared" ref="TZ9:TZ60" si="317">QX9/TQ9*100</f>
        <v>3.2313829787234045</v>
      </c>
      <c r="UA9" s="95">
        <f t="shared" ref="UA9:UA60" si="318">TQ9*4.4%</f>
        <v>0.49632000000000004</v>
      </c>
      <c r="UB9" s="90">
        <v>0</v>
      </c>
      <c r="UC9" s="90">
        <f t="shared" ref="UC9:UC60" si="319">I9*UB9</f>
        <v>0</v>
      </c>
      <c r="UD9" s="90">
        <f t="shared" ref="UD9:UD60" si="320">UC9*1/99</f>
        <v>0</v>
      </c>
      <c r="UE9" s="90">
        <f t="shared" ref="UE9:UE60" si="321">UC9-UD9</f>
        <v>0</v>
      </c>
      <c r="UF9" s="90">
        <f t="shared" ref="UF9:UF60" si="322">RU9+UC9</f>
        <v>7307.1839999999975</v>
      </c>
      <c r="UG9" s="91">
        <f t="shared" ref="UG9:UG60" si="323">UC9/UF9*100</f>
        <v>0</v>
      </c>
      <c r="UH9" s="95">
        <f t="shared" ref="UH9:UH60" si="324">TC9/UF9*100</f>
        <v>18.412440414802727</v>
      </c>
      <c r="UI9" s="95">
        <f t="shared" ref="UI9:UI60" si="325">RU9+TI9+TK9+TM9+UC9</f>
        <v>7307.1839999999975</v>
      </c>
      <c r="UJ9" s="101">
        <f t="shared" ref="UJ9:UJ60" si="326">UC9/UI9*100</f>
        <v>0</v>
      </c>
      <c r="UK9" s="101">
        <f t="shared" ref="UK9:UK60" si="327">TC9/UI9*100</f>
        <v>18.412440414802727</v>
      </c>
      <c r="UL9" s="90" t="e">
        <f>(#REF!+#REF!+HZ9+LT9+LZ9+MF9+ML9+QL9+QN9+SN9+TC9+TM9+UC9)/I9</f>
        <v>#REF!</v>
      </c>
      <c r="UN9" s="90" t="e">
        <f>#REF!/I9</f>
        <v>#REF!</v>
      </c>
      <c r="UO9" s="90" t="e">
        <f>#REF!/I9</f>
        <v>#REF!</v>
      </c>
      <c r="UP9" s="90">
        <v>1.1499999999999999</v>
      </c>
      <c r="UQ9" s="90" t="e">
        <f t="shared" ref="UQ9:UQ60" si="328">UO9*UP9</f>
        <v>#REF!</v>
      </c>
      <c r="UR9" s="90">
        <f t="shared" ref="UR9:UR60" si="329">AX9+GS9+IE9+LA9+LV9+MB9+MH9+MN9+MU9+NB9+NJ9+NQ9+NX9+PM9+PZ9</f>
        <v>6629.1279978151997</v>
      </c>
      <c r="US9" s="90">
        <f t="shared" ref="US9:US60" si="330">BH9+GW9+IJ9+LJ9+LW9+MC9+MI9+MO9+MX9+NE9+NM9+NT9+OA9+PP9+QC9</f>
        <v>8248.7016666666677</v>
      </c>
      <c r="UT9" s="90">
        <f t="shared" ref="UT9:UT60" si="331">BH9+GW9+IJ9+LJ9+LW9+MC9+MI9+MO9+MX9+NE9+NM9+NT9+OA9+PP9+QC9</f>
        <v>8248.7016666666677</v>
      </c>
      <c r="UU9" s="90">
        <f t="shared" ref="UU9:UU13" si="332">BH9+GW9+IJ9+LL9+LO9+LQ9+LW9+MC9+MI9+MO9+MX9+NE9+NM9+NT9+OA9+PR9+QE9</f>
        <v>8546.6916666666675</v>
      </c>
      <c r="UV9" s="90">
        <f t="shared" ref="UV9:UV60" si="333">BK9+HA9+IL9+LL9+LW9+MC9+MI9+MO9+MZ9+NG9+NO9+NV9+OA9+PR9+QE9</f>
        <v>8459.8316666666669</v>
      </c>
      <c r="UW9" s="90">
        <f t="shared" ref="UW9:UW60" si="334">UX9+VA9+VB9+VC9+VF9+VG9+VH9+VI9</f>
        <v>6</v>
      </c>
      <c r="UX9" s="90">
        <f t="shared" ref="UX9:UX60" si="335">ROUND(LA9/I9,2)</f>
        <v>3.92</v>
      </c>
      <c r="UY9" s="90">
        <f t="shared" ref="UY9:UY60" si="336">SN9/I9</f>
        <v>3.8019604816301333</v>
      </c>
      <c r="UZ9" s="100">
        <f t="shared" ref="UZ9:UZ60" si="337">SD9/I9</f>
        <v>3.5512367328000005</v>
      </c>
      <c r="VA9" s="90">
        <f t="shared" ref="VA9:VA60" si="338">ROUND(((GP9+GR9)/I9),2)</f>
        <v>0.7</v>
      </c>
      <c r="VB9" s="90">
        <f t="shared" ref="VB9:VB60" si="339">ROUND((AX9/I9),2)</f>
        <v>1.38</v>
      </c>
      <c r="VC9" s="90">
        <f t="shared" ref="VC9:VC60" si="340">ROUND((NX9/I9),2)</f>
        <v>0</v>
      </c>
      <c r="VD9" s="90">
        <f t="shared" ref="VD9:VD60" si="341">ROUND((MU9/I9),2)</f>
        <v>0</v>
      </c>
      <c r="VE9" s="90">
        <f t="shared" ref="VE9:VE60" si="342">ROUND((NB9/I9),2)</f>
        <v>0</v>
      </c>
      <c r="VF9" s="90">
        <f t="shared" ref="VF9:VF60" si="343">ROUND((NJ9/I9),2)</f>
        <v>0</v>
      </c>
      <c r="VG9" s="90">
        <f t="shared" ref="VG9:VG60" si="344">ROUND((NQ9/I9),2)</f>
        <v>0</v>
      </c>
      <c r="VH9" s="90">
        <f t="shared" ref="VH9:VH60" si="345">ROUND(((LV9+MB9+MH9)/I9),2)</f>
        <v>0</v>
      </c>
      <c r="VI9" s="90">
        <f t="shared" ref="VI9:VI60" si="346">ROUND((MN9/I9),2)</f>
        <v>0</v>
      </c>
      <c r="VJ9" s="90">
        <f t="shared" ref="VJ9:VJ60" si="347">VH9+VI9</f>
        <v>0</v>
      </c>
      <c r="VK9" s="90">
        <f t="shared" ref="VK9:VK60" si="348">ROUND((AC9/I9),2)</f>
        <v>0.67</v>
      </c>
      <c r="VL9" s="90">
        <f t="shared" ref="VL9:VL60" si="349">ROUND((IE9/I9),2)</f>
        <v>3.64</v>
      </c>
      <c r="VM9" s="90">
        <f t="shared" ref="VM9:VM60" si="350">ROUND((OD9/I9),2)</f>
        <v>5.18</v>
      </c>
      <c r="VN9" s="90">
        <f t="shared" ref="VN9:VN60" si="351">ROUND((PB9/I9),2)</f>
        <v>0</v>
      </c>
      <c r="VO9" s="90">
        <f t="shared" ref="VO9:VO60" si="352">VM9+VN9</f>
        <v>5.18</v>
      </c>
      <c r="VP9" s="97">
        <v>0</v>
      </c>
      <c r="VQ9" s="97">
        <v>5.18</v>
      </c>
      <c r="VR9" s="90">
        <f t="shared" ref="VR9:VR60" si="353">ROUND((PM9/I9),2)</f>
        <v>0.44</v>
      </c>
      <c r="VS9" s="90">
        <f t="shared" ref="VS9:VS60" si="354">ROUND((PZ9/I9),2)</f>
        <v>0.15</v>
      </c>
      <c r="VT9" s="90">
        <v>0.11989898989898991</v>
      </c>
      <c r="VU9" s="90">
        <f t="shared" ref="VU9:VU60" si="355">VY9*1%</f>
        <v>0.15410000000000001</v>
      </c>
      <c r="VV9" s="90">
        <v>0.38175323599898991</v>
      </c>
      <c r="VW9" s="90">
        <f t="shared" ref="VW9:VW60" si="356">VR9+VS9</f>
        <v>0.59</v>
      </c>
      <c r="VX9" s="90">
        <f t="shared" ref="VX9:VX60" si="357">UX9+VA9+VB9+VC9+VF9+VG9+VJ9+VL9+VM9+VW9</f>
        <v>15.41</v>
      </c>
      <c r="VY9" s="90">
        <f t="shared" ref="VY9:VY60" si="358">UX9+VA9+VB9+VC9+VF9+VG9+VJ9+VL9+VM9+VN9+VW9</f>
        <v>15.41</v>
      </c>
      <c r="VZ9" s="90">
        <f t="shared" ref="VZ9:VZ60" si="359">VY9-VX9</f>
        <v>0</v>
      </c>
      <c r="WA9" s="90"/>
      <c r="WB9" s="90">
        <f t="shared" ref="WB9:WB60" si="360">VX9-WA9</f>
        <v>15.41</v>
      </c>
      <c r="WC9" s="90">
        <f t="shared" ref="WC9:WC60" si="361">VN9</f>
        <v>0</v>
      </c>
      <c r="WD9" s="90"/>
      <c r="WE9" s="90">
        <v>15.41</v>
      </c>
      <c r="WF9" s="90"/>
      <c r="WG9" s="90">
        <f t="shared" ref="WG9:WG60" si="362">I9*VX9+I9*WC9</f>
        <v>9982.5979999999981</v>
      </c>
      <c r="WH9" s="90">
        <f t="shared" ref="WH9:WH60" si="363">I9*(UX9+VA9+VB9+VJ9+VL9+VM9+VW9)</f>
        <v>9982.5979999999981</v>
      </c>
      <c r="WI9" s="90">
        <f t="shared" ref="WI9:WI60" si="364">QG9-MU9-NB9-NJ9-NQ9-NX9-PB9</f>
        <v>9984.7279978152001</v>
      </c>
      <c r="WJ9" s="90">
        <f t="shared" ref="WJ9:WJ60" si="365">AX9+GS9+IE9+LA9+LV9+MB9+MH9+MN9+MU9+NB9+NJ9+NQ9+NX9+PM9+PZ9</f>
        <v>6629.1279978151997</v>
      </c>
      <c r="WK9" s="97">
        <v>3358.71</v>
      </c>
      <c r="WL9" s="97">
        <v>5.18</v>
      </c>
      <c r="WM9" s="90">
        <f t="shared" ref="WM9:WM60" si="366">ROUND((I9*WL9),2)</f>
        <v>3355.6</v>
      </c>
      <c r="WN9" s="90">
        <f t="shared" ref="WN9:WN60" si="367">ROUND((WM9/$I9),2)</f>
        <v>5.18</v>
      </c>
      <c r="WO9" s="90"/>
      <c r="WP9" s="97">
        <v>15.41</v>
      </c>
      <c r="WQ9" s="90">
        <f t="shared" ref="WQ9:WQ60" si="368">VY9-VN9</f>
        <v>15.41</v>
      </c>
      <c r="WR9" s="91">
        <f t="shared" ref="WR9:WR60" si="369">VY9/XM9*100</f>
        <v>136.61347517730496</v>
      </c>
      <c r="WS9" s="91">
        <f t="shared" ref="WS9:WS60" si="370">WQ9/XP9*100</f>
        <v>136.61347517730496</v>
      </c>
      <c r="WT9" s="90">
        <f t="shared" ref="WT9:WT60" si="371">ROUND((I9*WP9),2)</f>
        <v>9982.6</v>
      </c>
      <c r="WU9" s="90">
        <f t="shared" ref="WU9:WU60" si="372">QG9</f>
        <v>9984.7279978152001</v>
      </c>
      <c r="WV9" s="90">
        <f t="shared" ref="WV9:WV60" si="373">WT9-QG9</f>
        <v>-2.1279978151997057</v>
      </c>
      <c r="WW9" s="90"/>
      <c r="WX9" s="90"/>
      <c r="WY9" s="90"/>
      <c r="WZ9" s="90">
        <f t="shared" ref="WZ9:WZ60" si="374">XF9-UX9-VA9-VB9-VC9-VF9-VG9-VH9-VI9-VL9-XC9-XD9</f>
        <v>1.8019959595959594</v>
      </c>
      <c r="XA9" s="90">
        <v>0</v>
      </c>
      <c r="XB9" s="90">
        <f t="shared" ref="XB9:XB60" si="375">WZ9+XA9</f>
        <v>1.8019959595959594</v>
      </c>
      <c r="XC9" s="90">
        <f t="shared" ref="XC9:XC60" si="376">XF9*3%</f>
        <v>0.35759999999999997</v>
      </c>
      <c r="XD9" s="90">
        <f t="shared" ref="XD9:XD60" si="377">XF9*1/99</f>
        <v>0.1204040404040404</v>
      </c>
      <c r="XE9" s="90"/>
      <c r="XF9" s="90">
        <f t="shared" ref="XF9:XF60" si="378">ROUND(((XH9+XI9)*1.057+XJ9+XK9+XL9),2)</f>
        <v>11.92</v>
      </c>
      <c r="XG9" s="90">
        <v>1.8308249023236673</v>
      </c>
      <c r="XH9" s="20">
        <v>11.28</v>
      </c>
      <c r="XI9" s="20">
        <v>0</v>
      </c>
      <c r="XJ9" s="20"/>
      <c r="XK9" s="20"/>
      <c r="XL9" s="20"/>
      <c r="XM9" s="20">
        <f t="shared" ref="XM9:XM53" si="379">XH9+XI9+XJ9+XK9+XL9</f>
        <v>11.28</v>
      </c>
      <c r="XN9" s="91">
        <f t="shared" ref="XN9:XN60" si="380">VY9/XM9*100</f>
        <v>136.61347517730496</v>
      </c>
      <c r="XO9" s="20">
        <f t="shared" ref="XO9:XO60" si="381">XH9+XJ9+XK9+XL9</f>
        <v>11.28</v>
      </c>
      <c r="XP9" s="90">
        <f t="shared" ref="XP9:XP53" si="382">XO9-WW9</f>
        <v>11.28</v>
      </c>
      <c r="XQ9" s="91">
        <f t="shared" ref="XQ9:XQ60" si="383">VY9/XO9*100</f>
        <v>136.61347517730496</v>
      </c>
      <c r="XR9" s="102"/>
      <c r="XS9" s="90">
        <f t="shared" ref="XS9:XS60" si="384">VL9</f>
        <v>3.64</v>
      </c>
      <c r="XT9" s="90">
        <f t="shared" ref="XT9:XT60" si="385">XU9+XV9+XY9</f>
        <v>6</v>
      </c>
      <c r="XU9" s="90">
        <f t="shared" ref="XU9:XU60" si="386">UX9</f>
        <v>3.92</v>
      </c>
      <c r="XV9" s="90">
        <f t="shared" ref="XV9:XV60" si="387">XW9+XX9</f>
        <v>0.7</v>
      </c>
      <c r="XW9" s="90">
        <f t="shared" ref="XW9:XW60" si="388">VA9</f>
        <v>0.7</v>
      </c>
      <c r="XX9" s="90">
        <f t="shared" ref="XX9:XX60" si="389">VC9</f>
        <v>0</v>
      </c>
      <c r="XY9" s="90">
        <f t="shared" ref="XY9:XY60" si="390">XZ9+YA9+YB9+YC9+YD9</f>
        <v>1.38</v>
      </c>
      <c r="XZ9" s="90">
        <f t="shared" ref="XZ9:XZ60" si="391">VG9</f>
        <v>0</v>
      </c>
      <c r="YA9" s="90">
        <f t="shared" ref="YA9:YA60" si="392">VF9</f>
        <v>0</v>
      </c>
      <c r="YB9" s="90">
        <f t="shared" ref="YB9:YC24" si="393">VD9</f>
        <v>0</v>
      </c>
      <c r="YC9" s="90">
        <f t="shared" si="393"/>
        <v>0</v>
      </c>
      <c r="YD9" s="90">
        <f t="shared" ref="YD9:YD60" si="394">VB9</f>
        <v>1.38</v>
      </c>
      <c r="YE9" s="90">
        <f t="shared" ref="YE9:YE60" si="395">VM9</f>
        <v>5.18</v>
      </c>
      <c r="YF9" s="90">
        <f t="shared" ref="YF9:YF60" si="396">VW9</f>
        <v>0.59</v>
      </c>
      <c r="YG9" s="90">
        <f t="shared" ref="YG9:YG60" si="397">XS9+XT9+YE9+YF9</f>
        <v>15.41</v>
      </c>
      <c r="YI9" s="103" t="s">
        <v>439</v>
      </c>
      <c r="YK9" s="90">
        <f t="shared" ref="YK9:YK60" si="398">HM9</f>
        <v>1.07</v>
      </c>
      <c r="YL9" s="90">
        <f t="shared" ref="YL9:YM24" si="399">VA9</f>
        <v>0.7</v>
      </c>
      <c r="YM9" s="90">
        <f t="shared" si="399"/>
        <v>1.38</v>
      </c>
      <c r="YN9" s="90">
        <f t="shared" ref="YN9:YN60" si="400">VL9</f>
        <v>3.64</v>
      </c>
      <c r="YO9" s="90">
        <f t="shared" ref="YO9:YO60" si="401">UX9-YK9+VC9+VG9+VJ9+VM9+VW9</f>
        <v>8.6199999999999992</v>
      </c>
      <c r="YP9" s="90">
        <f t="shared" ref="YP9:YP60" si="402">VF9</f>
        <v>0</v>
      </c>
      <c r="YQ9" s="90">
        <f t="shared" ref="YQ9:YQ60" si="403">VX9</f>
        <v>15.41</v>
      </c>
      <c r="YR9" s="90">
        <f t="shared" ref="YR9:YR60" si="404">WC9</f>
        <v>0</v>
      </c>
      <c r="YS9" s="104">
        <f t="shared" ref="YS9:YS60" si="405">YK9+YL9+YM9+YN9+YO9+YP9</f>
        <v>15.41</v>
      </c>
      <c r="YT9" s="104">
        <f t="shared" ref="YT9:YT60" si="406">YQ9-YS9</f>
        <v>0</v>
      </c>
      <c r="YY9" s="90">
        <f t="shared" ref="YY9:YY60" si="407">YZ9+ZA9+ZB9+ZC9+ZD9+ZE9+ZF9+ZG9+ZH9+ZI9</f>
        <v>7.8100000000000005</v>
      </c>
      <c r="YZ9" s="90">
        <f t="shared" ref="YZ9:YZ60" si="408">ROUND(LJ9/I9,2)</f>
        <v>4.18</v>
      </c>
      <c r="ZA9" s="90">
        <f t="shared" ref="ZA9:ZA60" si="409">ROUND(((GU9+GV9)/12/I9),2)</f>
        <v>0.65</v>
      </c>
      <c r="ZB9" s="90">
        <f t="shared" ref="ZB9:ZB60" si="410">ROUND((BH9/I9),2)</f>
        <v>2.98</v>
      </c>
      <c r="ZC9" s="90">
        <f t="shared" ref="ZC9:ZC60" si="411">ROUND((OA9/I9),2)</f>
        <v>0</v>
      </c>
      <c r="ZD9" s="90">
        <f t="shared" ref="ZD9:ZD60" si="412">ROUND((MX9/I9),2)</f>
        <v>0</v>
      </c>
      <c r="ZE9" s="90">
        <f t="shared" ref="ZE9:ZE60" si="413">ROUND((NE9/I9),2)</f>
        <v>0</v>
      </c>
      <c r="ZF9" s="90">
        <f t="shared" ref="ZF9:ZF60" si="414">ROUND((NM9/I9),2)</f>
        <v>0</v>
      </c>
      <c r="ZG9" s="90">
        <f t="shared" ref="ZG9:ZG60" si="415">ROUND((NT9/I9),2)</f>
        <v>0</v>
      </c>
      <c r="ZH9" s="90">
        <f t="shared" ref="ZH9:ZH60" si="416">ROUND(((LW9+MC9+MI9)/I9),2)</f>
        <v>0</v>
      </c>
      <c r="ZI9" s="90">
        <f t="shared" ref="ZI9:ZI60" si="417">ROUND((MO9/I9),2)</f>
        <v>0</v>
      </c>
      <c r="ZJ9" s="90">
        <f t="shared" ref="ZJ9:ZJ60" si="418">ZH9+ZI9</f>
        <v>0</v>
      </c>
      <c r="ZK9" s="90">
        <f t="shared" ref="ZK9:ZK60" si="419">ZF9+ZG9+ZH9+ZI9</f>
        <v>0</v>
      </c>
      <c r="ZL9" s="90">
        <f t="shared" ref="ZL9:ZL60" si="420">ROUND((EY9/EE9),2)</f>
        <v>0.02</v>
      </c>
      <c r="ZM9" s="90">
        <f t="shared" ref="ZM9:ZM60" si="421">ROUND((IJ9/I9),2)</f>
        <v>4.1100000000000003</v>
      </c>
      <c r="ZN9" s="90">
        <f t="shared" ref="ZN9:ZN60" si="422">ZB9+ZP9</f>
        <v>10.56</v>
      </c>
      <c r="ZO9" s="90">
        <f t="shared" ref="ZO9:ZO60" si="423">ROUND((OK9/I9),2)</f>
        <v>6.56</v>
      </c>
      <c r="ZP9" s="90">
        <f t="shared" ref="ZP9:ZP60" si="424">ROUND((OW9/I9),2)</f>
        <v>7.58</v>
      </c>
      <c r="ZQ9" s="90">
        <f t="shared" ref="ZQ9:ZQ60" si="425">ROUND((TI9/EE9),2)</f>
        <v>0</v>
      </c>
      <c r="ZR9" s="90">
        <f t="shared" ref="ZR9:ZR60" si="426">ZP9+ZQ9</f>
        <v>7.58</v>
      </c>
      <c r="ZS9" s="97">
        <v>227</v>
      </c>
      <c r="ZT9" s="97">
        <v>230.38</v>
      </c>
      <c r="ZU9" s="90">
        <f t="shared" ref="ZU9:ZU60" si="427">ROUND((PP9/I9),2)</f>
        <v>0.61</v>
      </c>
      <c r="ZV9" s="90">
        <f t="shared" ref="ZV9:ZV60" si="428">ROUND((QC9/I9),2)</f>
        <v>0.21</v>
      </c>
      <c r="ZW9" s="90">
        <v>0.11989898989898991</v>
      </c>
      <c r="ZX9" s="90">
        <f t="shared" ref="ZX9:ZX60" si="429">AAB9*1%</f>
        <v>0.20320000000000002</v>
      </c>
      <c r="ZY9" s="90">
        <v>0.38175323599898991</v>
      </c>
      <c r="ZZ9" s="90">
        <f t="shared" ref="ZZ9:ZZ60" si="430">ZU9+ZV9</f>
        <v>0.82</v>
      </c>
      <c r="AAA9" s="90">
        <f t="shared" ref="AAA9:AAA60" si="431">YY9+ZM9+ZP9+ZZ9</f>
        <v>20.32</v>
      </c>
      <c r="AAB9" s="90">
        <f t="shared" ref="AAB9:AAB60" si="432">YZ9+ZA9+ZB9+ZC9+ZF9+ZG9+ZJ9+ZM9+ZP9+ZQ9+ZZ9</f>
        <v>20.32</v>
      </c>
      <c r="AAC9" s="90">
        <f t="shared" ref="AAC9:AAC60" si="433">AAB9-AAA9</f>
        <v>0</v>
      </c>
      <c r="AAD9" s="90"/>
      <c r="AAE9" s="90">
        <f t="shared" ref="AAE9:AAE60" si="434">AAA9-AAD9</f>
        <v>20.32</v>
      </c>
      <c r="AAF9" s="90">
        <v>15.41</v>
      </c>
      <c r="AAG9" s="90">
        <f t="shared" ref="AAG9:AAG60" si="435">AAA9/VX9*100</f>
        <v>131.8624269954575</v>
      </c>
      <c r="AAH9" s="90">
        <f t="shared" ref="AAH9:AAH60" si="436">PD9</f>
        <v>0</v>
      </c>
      <c r="AAI9" s="90">
        <v>0</v>
      </c>
      <c r="AAJ9" s="90"/>
      <c r="AAK9" s="1">
        <v>16.48</v>
      </c>
      <c r="AAL9" s="104">
        <f t="shared" ref="AAL9:AAL60" si="437">(AAA9+AAH9)-AAK9</f>
        <v>3.84</v>
      </c>
      <c r="AAM9" s="103" t="s">
        <v>440</v>
      </c>
      <c r="AAN9" s="105">
        <v>7.75</v>
      </c>
      <c r="AAO9" s="90">
        <f t="shared" ref="AAO9:AAO60" si="438">AAQ9+AAS9+AAV9+AAX9+AAY9+AAZ9+ABA9+ABB9+ABD9+ABG9+ABI9+ABJ9</f>
        <v>8.59</v>
      </c>
      <c r="AAP9" s="90">
        <v>4.21</v>
      </c>
      <c r="AAQ9" s="90">
        <f t="shared" ref="AAQ9:AAQ60" si="439">ROUND(LL9/I9,2)</f>
        <v>4.18</v>
      </c>
      <c r="AAR9" s="90">
        <v>0.65</v>
      </c>
      <c r="AAS9" s="90">
        <f t="shared" ref="AAS9:AAS60" si="440">ROUND(((GY9+GZ9)/12/I9),2)</f>
        <v>0.97</v>
      </c>
      <c r="AAT9" s="90">
        <f t="shared" ref="AAT9:AAT60" si="441">AAS9/AAR9*100</f>
        <v>149.2307692307692</v>
      </c>
      <c r="AAU9" s="90">
        <v>2.89</v>
      </c>
      <c r="AAV9" s="90">
        <f t="shared" ref="AAV9:AAV60" si="442">ROUND((BK9/I9),2)</f>
        <v>2.98</v>
      </c>
      <c r="AAW9" s="90">
        <f t="shared" ref="AAW9:AAW60" si="443">AAV9/AAU9*100</f>
        <v>103.11418685121107</v>
      </c>
      <c r="AAX9" s="90">
        <f t="shared" ref="AAX9:AAX60" si="444">ROUND((LO9/I9),2)</f>
        <v>0.46</v>
      </c>
      <c r="AAY9" s="90">
        <f t="shared" ref="AAY9:AAY60" si="445">ROUND((OA9/I9),2)</f>
        <v>0</v>
      </c>
      <c r="AAZ9" s="90">
        <f t="shared" ref="AAZ9:AAZ60" si="446">ROUND((LQ9/I9),2)</f>
        <v>0</v>
      </c>
      <c r="ABA9" s="90">
        <f t="shared" ref="ABA9:ABA60" si="447">ROUND((MX9/I9),2)</f>
        <v>0</v>
      </c>
      <c r="ABB9" s="90">
        <f t="shared" ref="ABB9:ABB60" si="448">ROUND((NE9/I9),2)</f>
        <v>0</v>
      </c>
      <c r="ABC9" s="90">
        <v>0</v>
      </c>
      <c r="ABD9" s="90">
        <f t="shared" ref="ABD9:ABD60" si="449">ROUND((NM9/I9),2)</f>
        <v>0</v>
      </c>
      <c r="ABE9" s="90"/>
      <c r="ABF9" s="90">
        <v>0</v>
      </c>
      <c r="ABG9" s="90">
        <f t="shared" ref="ABG9:ABG60" si="450">ROUND((NT9/I9),2)</f>
        <v>0</v>
      </c>
      <c r="ABH9" s="90"/>
      <c r="ABI9" s="90">
        <f t="shared" ref="ABI9:ABI60" si="451">ROUND(((LW9+MC9+MI9)/I9),2)</f>
        <v>0</v>
      </c>
      <c r="ABJ9" s="90">
        <f t="shared" ref="ABJ9:ABJ60" si="452">ROUND((MO9/I9),2)</f>
        <v>0</v>
      </c>
      <c r="ABK9" s="90">
        <v>0</v>
      </c>
      <c r="ABL9" s="90">
        <f t="shared" ref="ABL9:ABL60" si="453">ABI9+ABJ9</f>
        <v>0</v>
      </c>
      <c r="ABM9" s="90">
        <f t="shared" ref="ABM9:ABM60" si="454">ABD9+ABG9+ABI9+ABJ9</f>
        <v>0</v>
      </c>
      <c r="ABN9" s="90">
        <f t="shared" ref="ABN9:ABN60" si="455">ROUND((GF9/FL9),2)</f>
        <v>0.02</v>
      </c>
      <c r="ABO9" s="90">
        <v>3.91</v>
      </c>
      <c r="ABP9" s="90">
        <f t="shared" ref="ABP9:ABP60" si="456">ROUND((IL9/I9),2)</f>
        <v>4.1100000000000003</v>
      </c>
      <c r="ABQ9" s="90">
        <f t="shared" ref="ABQ9:ABQ60" si="457">ABP9/ABO9*100</f>
        <v>105.1150895140665</v>
      </c>
      <c r="ABR9" s="90">
        <f t="shared" ref="ABR9:ABR60" si="458">AAV9+ABU9</f>
        <v>10.56</v>
      </c>
      <c r="ABS9" s="90">
        <f t="shared" ref="ABS9:ABS60" si="459">ROUND((OK9/I9),2)</f>
        <v>6.56</v>
      </c>
      <c r="ABT9" s="90">
        <v>4.18</v>
      </c>
      <c r="ABU9" s="90">
        <f t="shared" ref="ABU9:ABU60" si="460">ROUND((OW9/I9),2)</f>
        <v>7.58</v>
      </c>
      <c r="ABV9" s="90">
        <f t="shared" ref="ABV9:ABV60" si="461">ABU9/ABT9*100</f>
        <v>181.33971291866033</v>
      </c>
      <c r="ABW9" s="90">
        <f t="shared" ref="ABW9:ABW60" si="462">ROUND((UP9/FL9),2)</f>
        <v>0</v>
      </c>
      <c r="ABX9" s="90">
        <f t="shared" ref="ABX9:ABX60" si="463">ABU9+ABW9</f>
        <v>7.58</v>
      </c>
      <c r="ABY9" s="97">
        <v>227</v>
      </c>
      <c r="ABZ9" s="97">
        <v>230.38</v>
      </c>
      <c r="ACA9" s="90">
        <f t="shared" ref="ACA9:ACA60" si="464">ROUND((PR9/I9),2)</f>
        <v>0.61</v>
      </c>
      <c r="ACB9" s="90">
        <f t="shared" ref="ACB9:ACB60" si="465">ROUND((QE9/I9),2)</f>
        <v>0.21</v>
      </c>
      <c r="ACC9" s="90">
        <v>0.11989898989898991</v>
      </c>
      <c r="ACD9" s="90">
        <f t="shared" ref="ACD9:ACD60" si="466">ACJ9*1%</f>
        <v>0.2064</v>
      </c>
      <c r="ACE9" s="90">
        <v>0.38175323599898991</v>
      </c>
      <c r="ACF9" s="90">
        <v>0.64</v>
      </c>
      <c r="ACG9" s="90">
        <f t="shared" ref="ACG9:ACG60" si="467">ACA9+ACB9</f>
        <v>0.82</v>
      </c>
      <c r="ACH9" s="90">
        <f t="shared" ref="ACH9:ACH60" si="468">ACG9/ACF9*100</f>
        <v>128.125</v>
      </c>
      <c r="ACI9" s="90">
        <f t="shared" ref="ACI9:ACI60" si="469">AAQ9+AAS9+AAV9+AAX9+AAY9+AAZ9+ABA9+ABB9+ABD9+ABG9+ABL9+ABP9+ABU9+ACG9</f>
        <v>21.1</v>
      </c>
      <c r="ACJ9" s="90">
        <f t="shared" ref="ACJ9:ACJ60" si="470">AAQ9+AAS9+AAV9+AAY9+ABD9+ABG9+ABL9+ABP9+ABU9+ABW9+ACG9</f>
        <v>20.64</v>
      </c>
      <c r="ACK9" s="90">
        <f t="shared" ref="ACK9:ACK60" si="471">ACJ9-ACI9</f>
        <v>-0.46000000000000085</v>
      </c>
      <c r="ACL9" s="90"/>
      <c r="ACM9" s="90">
        <f t="shared" ref="ACM9:ACM60" si="472">ACI9-ACL9</f>
        <v>21.1</v>
      </c>
      <c r="ACN9" s="90">
        <f t="shared" ref="ACN9:ACN60" si="473">PD9</f>
        <v>0</v>
      </c>
      <c r="ACO9" s="90">
        <f t="shared" ref="ACO9:ACO60" si="474">ACI9</f>
        <v>21.1</v>
      </c>
      <c r="ACP9" s="90">
        <v>16.48</v>
      </c>
      <c r="ACQ9" s="90">
        <f t="shared" ref="ACQ9:ACQ60" si="475">ACO9/ACP9*100</f>
        <v>128.03398058252429</v>
      </c>
      <c r="ACR9" s="90">
        <f t="shared" ref="ACR9:ACR60" si="476">ACN9</f>
        <v>0</v>
      </c>
      <c r="ACS9" s="90">
        <v>0</v>
      </c>
      <c r="ACT9" s="90"/>
      <c r="ACU9" s="90">
        <f t="shared" ref="ACU9:ACU60" si="477">(ACP9)*1.051</f>
        <v>17.32048</v>
      </c>
      <c r="ACV9" s="90">
        <f t="shared" ref="ACV9:ACV60" si="478">ACU9-ACO9</f>
        <v>-3.7795200000000015</v>
      </c>
      <c r="ACX9" s="106" t="s">
        <v>440</v>
      </c>
      <c r="ACY9" s="107"/>
      <c r="ACZ9" s="107"/>
      <c r="ADB9" s="90">
        <f t="shared" ref="ADB9:ADB60" si="479">ABP9</f>
        <v>4.1100000000000003</v>
      </c>
      <c r="ADC9" s="90">
        <f t="shared" ref="ADC9:ADC60" si="480">ADD9+ADE9+ADJ9</f>
        <v>8.59</v>
      </c>
      <c r="ADD9" s="90">
        <f t="shared" ref="ADD9:ADD60" si="481">AAQ9</f>
        <v>4.18</v>
      </c>
      <c r="ADE9" s="90">
        <f t="shared" ref="ADE9:ADE13" si="482">ADF9+ADG9+ADH9+ADI9</f>
        <v>1.43</v>
      </c>
      <c r="ADF9" s="90">
        <f t="shared" ref="ADF9:ADF60" si="483">AAS9</f>
        <v>0.97</v>
      </c>
      <c r="ADG9" s="90">
        <f t="shared" ref="ADG9:ADI24" si="484">AAX9</f>
        <v>0.46</v>
      </c>
      <c r="ADH9" s="90">
        <f t="shared" si="484"/>
        <v>0</v>
      </c>
      <c r="ADI9" s="90">
        <f t="shared" si="484"/>
        <v>0</v>
      </c>
      <c r="ADJ9" s="90">
        <f t="shared" ref="ADJ9:ADJ60" si="485">ADK9+ADL9+ADM9+ADN9+ADO9</f>
        <v>2.98</v>
      </c>
      <c r="ADK9" s="90">
        <f t="shared" ref="ADK9:ADK60" si="486">ABG9</f>
        <v>0</v>
      </c>
      <c r="ADL9" s="90">
        <f t="shared" ref="ADL9:ADL60" si="487">ABD9</f>
        <v>0</v>
      </c>
      <c r="ADM9" s="90">
        <f t="shared" ref="ADM9:ADN24" si="488">ABA9</f>
        <v>0</v>
      </c>
      <c r="ADN9" s="90">
        <f t="shared" si="488"/>
        <v>0</v>
      </c>
      <c r="ADO9" s="90">
        <f t="shared" ref="ADO9:ADO60" si="489">AAV9</f>
        <v>2.98</v>
      </c>
      <c r="ADP9" s="90">
        <f t="shared" ref="ADP9:ADP60" si="490">ABU9</f>
        <v>7.58</v>
      </c>
      <c r="ADQ9" s="90">
        <f t="shared" ref="ADQ9:ADQ60" si="491">ACG9</f>
        <v>0.82</v>
      </c>
      <c r="ADR9" s="90">
        <f t="shared" ref="ADR9:ADR60" si="492">ADB9+ADC9+ADP9+ADQ9</f>
        <v>21.1</v>
      </c>
      <c r="ADU9" s="90">
        <f t="shared" ref="ADU9:ADU60" si="493">HQ9</f>
        <v>1.1499999999999999</v>
      </c>
      <c r="ADV9" s="90">
        <f t="shared" ref="ADV9:ADV60" si="494">AAS9</f>
        <v>0.97</v>
      </c>
      <c r="ADW9" s="90">
        <f t="shared" ref="ADW9:ADW60" si="495">AAV9</f>
        <v>2.98</v>
      </c>
      <c r="ADX9" s="90">
        <f t="shared" ref="ADX9:ADX60" si="496">ABP9</f>
        <v>4.1100000000000003</v>
      </c>
      <c r="ADY9" s="90">
        <f t="shared" ref="ADY9:ADY60" si="497">AAQ9-ADU9+AAY9+ABA9+ABB9+ABG9+ABL9+ABU9+ACG9</f>
        <v>11.43</v>
      </c>
      <c r="ADZ9" s="90">
        <f t="shared" ref="ADZ9:ADZ60" si="498">ABD9</f>
        <v>0</v>
      </c>
      <c r="AEA9" s="90">
        <f t="shared" ref="AEA9:AEA60" si="499">ACI9</f>
        <v>21.1</v>
      </c>
      <c r="AEB9" s="90">
        <f t="shared" ref="AEB9:AEB60" si="500">ACN9</f>
        <v>0</v>
      </c>
      <c r="AEC9" s="104">
        <f t="shared" ref="AEC9:AEC60" si="501">ADU9+ADV9+ADW9+ADX9+ADY9+ADZ9</f>
        <v>20.64</v>
      </c>
      <c r="AED9" s="104">
        <f t="shared" ref="AED9:AED60" si="502">AEA9-AEC9</f>
        <v>0.46000000000000085</v>
      </c>
      <c r="AEG9" s="1">
        <v>7.75</v>
      </c>
      <c r="AEH9" s="1">
        <v>4.21</v>
      </c>
      <c r="AEI9" s="1">
        <v>0.65</v>
      </c>
      <c r="AEJ9" s="1">
        <v>2.89</v>
      </c>
      <c r="AEK9" s="1">
        <v>0</v>
      </c>
      <c r="AEL9" s="1">
        <v>0</v>
      </c>
      <c r="AEM9" s="1">
        <v>0</v>
      </c>
      <c r="AEN9" s="1">
        <v>0</v>
      </c>
      <c r="AEO9" s="1">
        <v>0</v>
      </c>
      <c r="AEP9" s="1">
        <v>0</v>
      </c>
      <c r="AEQ9" s="1">
        <v>0</v>
      </c>
      <c r="AER9" s="1">
        <v>0</v>
      </c>
      <c r="AES9" s="1">
        <v>0</v>
      </c>
      <c r="AET9" s="1">
        <v>0</v>
      </c>
      <c r="AEU9" s="1">
        <v>0</v>
      </c>
      <c r="AEV9" s="1">
        <v>0.02</v>
      </c>
      <c r="AEW9" s="1">
        <v>3.91</v>
      </c>
      <c r="AEX9" s="1">
        <v>7.07</v>
      </c>
      <c r="AEY9" s="1">
        <v>6.56</v>
      </c>
      <c r="AEZ9" s="1">
        <v>4.18</v>
      </c>
      <c r="AFA9" s="1">
        <v>0</v>
      </c>
      <c r="AFB9" s="1">
        <v>4.18</v>
      </c>
      <c r="AFC9" s="1">
        <v>227</v>
      </c>
      <c r="AFD9" s="1">
        <v>230.38</v>
      </c>
      <c r="AFE9" s="1">
        <v>0.48</v>
      </c>
      <c r="AFF9" s="1">
        <v>0.16</v>
      </c>
      <c r="AFG9" s="1">
        <v>0.11989898989898991</v>
      </c>
      <c r="AFH9" s="1">
        <v>0.1648</v>
      </c>
      <c r="AFI9" s="1">
        <v>0.38175323599898991</v>
      </c>
      <c r="AFJ9" s="1">
        <v>0.64</v>
      </c>
      <c r="AFK9" s="1">
        <v>16.48</v>
      </c>
      <c r="AFL9" s="1">
        <v>16.48</v>
      </c>
      <c r="AFM9" s="1">
        <v>0</v>
      </c>
      <c r="AFO9" s="1">
        <v>16.48</v>
      </c>
      <c r="AFP9" s="1">
        <v>0</v>
      </c>
      <c r="AFQ9" s="1">
        <v>16.48</v>
      </c>
      <c r="AFX9" s="1">
        <v>20.8</v>
      </c>
    </row>
    <row r="10" spans="1:856" s="1" customFormat="1" ht="63.75" customHeight="1">
      <c r="A10" s="88">
        <v>2</v>
      </c>
      <c r="B10" s="20"/>
      <c r="C10" s="89" t="s">
        <v>441</v>
      </c>
      <c r="D10" s="20"/>
      <c r="E10" s="20" t="s">
        <v>437</v>
      </c>
      <c r="F10" s="20" t="s">
        <v>438</v>
      </c>
      <c r="G10" s="20">
        <v>0.8</v>
      </c>
      <c r="H10" s="20">
        <v>654.79999999999995</v>
      </c>
      <c r="I10" s="20">
        <v>654.79999999999995</v>
      </c>
      <c r="J10" s="20">
        <f t="shared" si="0"/>
        <v>523.84</v>
      </c>
      <c r="K10" s="20">
        <v>16</v>
      </c>
      <c r="L10" s="20"/>
      <c r="M10" s="20"/>
      <c r="N10" s="20"/>
      <c r="O10" s="90">
        <f t="shared" si="1"/>
        <v>0</v>
      </c>
      <c r="P10" s="20"/>
      <c r="Q10" s="20"/>
      <c r="R10" s="90">
        <f t="shared" si="2"/>
        <v>0</v>
      </c>
      <c r="S10" s="20">
        <v>46.9</v>
      </c>
      <c r="T10" s="20">
        <v>2.6</v>
      </c>
      <c r="U10" s="20">
        <v>3.13</v>
      </c>
      <c r="V10" s="91">
        <f t="shared" si="3"/>
        <v>381.67</v>
      </c>
      <c r="W10" s="20">
        <v>2.1000000000000001E-2</v>
      </c>
      <c r="X10" s="20">
        <f t="shared" si="4"/>
        <v>33.42</v>
      </c>
      <c r="Y10" s="91">
        <f t="shared" si="5"/>
        <v>32.92</v>
      </c>
      <c r="Z10" s="20"/>
      <c r="AA10" s="20"/>
      <c r="AB10" s="20"/>
      <c r="AC10" s="91">
        <f t="shared" si="6"/>
        <v>414.59</v>
      </c>
      <c r="AD10" s="90">
        <f t="shared" si="7"/>
        <v>0.63</v>
      </c>
      <c r="AE10" s="92">
        <f t="shared" si="8"/>
        <v>4975.08</v>
      </c>
      <c r="AF10" s="20">
        <v>43</v>
      </c>
      <c r="AG10" s="20">
        <v>43</v>
      </c>
      <c r="AH10" s="20">
        <v>43</v>
      </c>
      <c r="AI10" s="20">
        <f>3+2+30</f>
        <v>35</v>
      </c>
      <c r="AJ10" s="20">
        <v>1.6</v>
      </c>
      <c r="AK10" s="90">
        <f t="shared" si="9"/>
        <v>5.73</v>
      </c>
      <c r="AL10" s="90">
        <v>391.01</v>
      </c>
      <c r="AM10" s="90">
        <f t="shared" si="10"/>
        <v>2240.4899999999998</v>
      </c>
      <c r="AN10" s="20">
        <v>40</v>
      </c>
      <c r="AO10" s="20">
        <v>39</v>
      </c>
      <c r="AP10" s="20">
        <v>43</v>
      </c>
      <c r="AQ10" s="20">
        <v>40</v>
      </c>
      <c r="AR10" s="20">
        <v>39</v>
      </c>
      <c r="AS10" s="20">
        <f>3+2+32</f>
        <v>37</v>
      </c>
      <c r="AT10" s="20">
        <f t="shared" si="11"/>
        <v>0</v>
      </c>
      <c r="AU10" s="20">
        <v>1.6</v>
      </c>
      <c r="AV10" s="90">
        <f t="shared" si="12"/>
        <v>5.73</v>
      </c>
      <c r="AW10" s="90">
        <f t="shared" si="13"/>
        <v>180.78</v>
      </c>
      <c r="AX10" s="90">
        <v>891.85</v>
      </c>
      <c r="AY10" s="90">
        <f t="shared" si="14"/>
        <v>1.36</v>
      </c>
      <c r="AZ10" s="90">
        <f t="shared" si="15"/>
        <v>2241.79</v>
      </c>
      <c r="BA10" s="90">
        <f t="shared" si="16"/>
        <v>-1349.94</v>
      </c>
      <c r="BB10" s="90">
        <v>891.85</v>
      </c>
      <c r="BC10" s="90">
        <v>1.36</v>
      </c>
      <c r="BD10" s="92">
        <f t="shared" si="17"/>
        <v>10702.2</v>
      </c>
      <c r="BE10" s="90"/>
      <c r="BF10" s="90">
        <f t="shared" si="18"/>
        <v>0</v>
      </c>
      <c r="BG10" s="90">
        <v>391.01</v>
      </c>
      <c r="BH10" s="90">
        <f t="shared" si="19"/>
        <v>2240.4899999999998</v>
      </c>
      <c r="BI10" s="90">
        <f t="shared" si="20"/>
        <v>3.42</v>
      </c>
      <c r="BJ10" s="90">
        <f t="shared" si="21"/>
        <v>251.47058823529412</v>
      </c>
      <c r="BK10" s="90">
        <f t="shared" si="22"/>
        <v>2240.4899999999998</v>
      </c>
      <c r="BL10" s="90">
        <f t="shared" si="23"/>
        <v>3.42</v>
      </c>
      <c r="BM10" s="90"/>
      <c r="BN10" s="90">
        <f t="shared" si="24"/>
        <v>0</v>
      </c>
      <c r="BO10" s="90">
        <f t="shared" si="25"/>
        <v>2240.4899999999998</v>
      </c>
      <c r="BP10" s="90">
        <f t="shared" si="26"/>
        <v>3.4216401954795357</v>
      </c>
      <c r="BQ10" s="90"/>
      <c r="BR10" s="90">
        <f t="shared" si="27"/>
        <v>0</v>
      </c>
      <c r="BS10" s="90">
        <f t="shared" si="28"/>
        <v>2240.4899999999998</v>
      </c>
      <c r="BT10" s="90">
        <f t="shared" si="29"/>
        <v>3.4216401954795357</v>
      </c>
      <c r="BU10" s="90"/>
      <c r="BV10" s="93">
        <v>0.82054400000000005</v>
      </c>
      <c r="BW10" s="90">
        <f t="shared" si="30"/>
        <v>537.2922112</v>
      </c>
      <c r="BX10" s="90">
        <f t="shared" si="31"/>
        <v>569.52974387200004</v>
      </c>
      <c r="BY10" s="90"/>
      <c r="BZ10" s="90"/>
      <c r="CA10" s="90">
        <v>0.26506960000000002</v>
      </c>
      <c r="CB10" s="90">
        <f t="shared" si="32"/>
        <v>173.56757407999999</v>
      </c>
      <c r="CC10" s="90">
        <v>0.71072749999999996</v>
      </c>
      <c r="CD10" s="90">
        <f t="shared" si="33"/>
        <v>123.35924800694318</v>
      </c>
      <c r="CE10" s="90">
        <f t="shared" si="34"/>
        <v>186.53469501884456</v>
      </c>
      <c r="CF10" s="90">
        <v>182.10264942750524</v>
      </c>
      <c r="CG10" s="90">
        <v>182.10264942750524</v>
      </c>
      <c r="CH10" s="90">
        <f t="shared" si="35"/>
        <v>190.84</v>
      </c>
      <c r="CI10" s="90">
        <f>CH10/($SP10-$HL10)*($SX10-$HN10)</f>
        <v>200.2848724875997</v>
      </c>
      <c r="CJ10" s="90">
        <f t="shared" si="36"/>
        <v>201.34</v>
      </c>
      <c r="CK10" s="90">
        <f t="shared" si="37"/>
        <v>212.93355768257436</v>
      </c>
      <c r="CL10" s="90">
        <f t="shared" si="38"/>
        <v>212.93355768257436</v>
      </c>
      <c r="CM10" s="94">
        <v>0.14899999999999999</v>
      </c>
      <c r="CN10" s="90">
        <f t="shared" si="39"/>
        <v>80.056539468799997</v>
      </c>
      <c r="CO10" s="90">
        <f t="shared" si="40"/>
        <v>84.859931836927998</v>
      </c>
      <c r="CP10" s="90"/>
      <c r="CQ10" s="90">
        <v>3.9538999999999998E-2</v>
      </c>
      <c r="CR10" s="90">
        <f t="shared" si="41"/>
        <v>25.890137199999998</v>
      </c>
      <c r="CS10" s="90">
        <v>0.71072749999999996</v>
      </c>
      <c r="CT10" s="90">
        <f t="shared" si="42"/>
        <v>18.400832486812998</v>
      </c>
      <c r="CU10" s="90">
        <f t="shared" si="43"/>
        <v>27.8243725661113</v>
      </c>
      <c r="CV10" s="90">
        <v>56.276400271394564</v>
      </c>
      <c r="CW10" s="90">
        <f t="shared" si="44"/>
        <v>58.98</v>
      </c>
      <c r="CX10" s="90">
        <f>CW10/($SP10-$HL10)*($SX10-$HN10)</f>
        <v>61.898982285257965</v>
      </c>
      <c r="CY10" s="90">
        <f t="shared" si="45"/>
        <v>62.22</v>
      </c>
      <c r="CZ10" s="90">
        <f t="shared" si="46"/>
        <v>65.808117963310806</v>
      </c>
      <c r="DA10" s="90">
        <f t="shared" si="47"/>
        <v>65.808117963310806</v>
      </c>
      <c r="DB10" s="93">
        <v>0.80940000000000001</v>
      </c>
      <c r="DC10" s="90">
        <f t="shared" si="48"/>
        <v>529.99511999999993</v>
      </c>
      <c r="DD10" s="90">
        <f t="shared" si="49"/>
        <v>561.79482719999999</v>
      </c>
      <c r="DE10" s="90"/>
      <c r="DF10" s="90"/>
      <c r="DG10" s="90">
        <v>0.16261500000000001</v>
      </c>
      <c r="DH10" s="90">
        <f t="shared" si="50"/>
        <v>106.48030199999999</v>
      </c>
      <c r="DI10" s="90">
        <v>0.71072749999999996</v>
      </c>
      <c r="DJ10" s="90">
        <f t="shared" si="51"/>
        <v>75.678478839704994</v>
      </c>
      <c r="DK10" s="90">
        <f t="shared" si="52"/>
        <v>114.4353763331948</v>
      </c>
      <c r="DL10" s="90">
        <v>90.528810149511642</v>
      </c>
      <c r="DM10" s="90">
        <f t="shared" si="53"/>
        <v>94.87</v>
      </c>
      <c r="DN10" s="90">
        <f>DM10/($SP10-$HL10)*($SX10-$HN10)</f>
        <v>99.56521616484271</v>
      </c>
      <c r="DO10" s="90">
        <f t="shared" si="54"/>
        <v>100.09</v>
      </c>
      <c r="DP10" s="90">
        <f t="shared" si="55"/>
        <v>105.85310530992365</v>
      </c>
      <c r="DQ10" s="90">
        <f t="shared" si="56"/>
        <v>105.85310530992365</v>
      </c>
      <c r="DR10" s="93">
        <v>3.1841000000000001E-2</v>
      </c>
      <c r="DS10" s="90">
        <f t="shared" si="57"/>
        <v>20.849486800000001</v>
      </c>
      <c r="DT10" s="90">
        <f t="shared" si="58"/>
        <v>22.100456008000002</v>
      </c>
      <c r="DU10" s="90"/>
      <c r="DV10" s="90">
        <v>6.1506E-3</v>
      </c>
      <c r="DW10" s="90">
        <f t="shared" si="59"/>
        <v>4.02741288</v>
      </c>
      <c r="DX10" s="90">
        <v>0.71072749999999996</v>
      </c>
      <c r="DY10" s="90">
        <f t="shared" si="60"/>
        <v>2.8623930876702</v>
      </c>
      <c r="DZ10" s="90">
        <f t="shared" si="61"/>
        <v>4.3282982853669587</v>
      </c>
      <c r="EA10" s="90">
        <f t="shared" si="62"/>
        <v>4.54</v>
      </c>
      <c r="EB10" s="90">
        <f>EA10/($SP10-$HL10)*($SX10-$HN10)</f>
        <v>4.7646893790279954</v>
      </c>
      <c r="EC10" s="90">
        <f t="shared" si="63"/>
        <v>4.79</v>
      </c>
      <c r="ED10" s="90">
        <f t="shared" si="64"/>
        <v>5.0655960588916766</v>
      </c>
      <c r="EE10" s="90">
        <f t="shared" si="65"/>
        <v>5.0655960588916766</v>
      </c>
      <c r="EF10" s="94">
        <v>0.85293354333000004</v>
      </c>
      <c r="EG10" s="90">
        <f t="shared" si="66"/>
        <v>446.80070733798726</v>
      </c>
      <c r="EH10" s="90">
        <f t="shared" si="67"/>
        <v>473.60874977826654</v>
      </c>
      <c r="EI10" s="90"/>
      <c r="EJ10" s="90">
        <v>0.58970610000000001</v>
      </c>
      <c r="EK10" s="90">
        <f t="shared" si="68"/>
        <v>308.91164342400003</v>
      </c>
      <c r="EL10" s="90">
        <v>0.71072749999999996</v>
      </c>
      <c r="EM10" s="90">
        <f t="shared" si="69"/>
        <v>219.55200005163098</v>
      </c>
      <c r="EN10" s="90">
        <f t="shared" si="70"/>
        <v>331.99023204245913</v>
      </c>
      <c r="EO10" s="90">
        <v>323.77166384492375</v>
      </c>
      <c r="EP10" s="90">
        <f t="shared" si="71"/>
        <v>339.31</v>
      </c>
      <c r="EQ10" s="90">
        <f>EP10/($SP10-$HL10)*($SX10-$HN10)</f>
        <v>356.10280907444695</v>
      </c>
      <c r="ER10" s="90">
        <f t="shared" si="72"/>
        <v>357.97</v>
      </c>
      <c r="ES10" s="90">
        <f t="shared" si="73"/>
        <v>378.59193804901651</v>
      </c>
      <c r="ET10" s="90">
        <f t="shared" si="74"/>
        <v>378.59193804901651</v>
      </c>
      <c r="EU10" s="94">
        <v>0.14899999999999999</v>
      </c>
      <c r="EV10" s="90">
        <f t="shared" si="75"/>
        <v>66.573305393360101</v>
      </c>
      <c r="EW10" s="90">
        <f t="shared" si="76"/>
        <v>70.567703716961717</v>
      </c>
      <c r="EX10" s="90"/>
      <c r="EY10" s="90">
        <v>8.7874999999999995E-2</v>
      </c>
      <c r="EZ10" s="90">
        <f t="shared" si="77"/>
        <v>46.032440000000001</v>
      </c>
      <c r="FA10" s="90">
        <v>0.71072749999999996</v>
      </c>
      <c r="FB10" s="90">
        <f t="shared" si="78"/>
        <v>32.716521000100002</v>
      </c>
      <c r="FC10" s="90">
        <f t="shared" si="79"/>
        <v>49.471493750414147</v>
      </c>
      <c r="FD10" s="90">
        <v>100.12860887930873</v>
      </c>
      <c r="FE10" s="90">
        <f t="shared" si="80"/>
        <v>104.93</v>
      </c>
      <c r="FF10" s="90">
        <f>FE10/($SP10-$HL10)*($SX10-$HN10)</f>
        <v>110.12309615449506</v>
      </c>
      <c r="FG10" s="90">
        <f t="shared" si="81"/>
        <v>110.7</v>
      </c>
      <c r="FH10" s="90">
        <f t="shared" si="82"/>
        <v>117.07775208359112</v>
      </c>
      <c r="FI10" s="90">
        <f t="shared" si="83"/>
        <v>117.07775208359112</v>
      </c>
      <c r="FJ10" s="93">
        <v>0.49981642240000002</v>
      </c>
      <c r="FK10" s="90">
        <f t="shared" si="84"/>
        <v>261.823834710016</v>
      </c>
      <c r="FL10" s="90">
        <f t="shared" si="85"/>
        <v>277.53326479261699</v>
      </c>
      <c r="FM10" s="90"/>
      <c r="FN10" s="90">
        <v>0.35816899099999999</v>
      </c>
      <c r="FO10" s="90">
        <f t="shared" si="86"/>
        <v>187.62324424544002</v>
      </c>
      <c r="FP10" s="90">
        <v>0.71072749999999996</v>
      </c>
      <c r="FQ10" s="90">
        <f t="shared" si="87"/>
        <v>133.34899932445097</v>
      </c>
      <c r="FR10" s="90">
        <f t="shared" si="88"/>
        <v>201.64045519031168</v>
      </c>
      <c r="FS10" s="90">
        <v>158.95416301672407</v>
      </c>
      <c r="FT10" s="90">
        <f t="shared" si="89"/>
        <v>166.58</v>
      </c>
      <c r="FU10" s="90">
        <v>159.08849232869164</v>
      </c>
      <c r="FV10" s="90">
        <f t="shared" si="90"/>
        <v>166.72</v>
      </c>
      <c r="FW10" s="90">
        <f>FV10/($SP10-$HL10)*($SX10-$HN10)</f>
        <v>174.97114829769765</v>
      </c>
      <c r="FX10" s="90">
        <f t="shared" si="91"/>
        <v>175.89</v>
      </c>
      <c r="FY10" s="90">
        <f t="shared" si="92"/>
        <v>186.02118390714102</v>
      </c>
      <c r="FZ10" s="90">
        <f t="shared" si="93"/>
        <v>186.02118390714102</v>
      </c>
      <c r="GA10" s="94">
        <v>1.352261642E-2</v>
      </c>
      <c r="GB10" s="90">
        <f t="shared" si="94"/>
        <v>7.0836873854527997</v>
      </c>
      <c r="GC10" s="90">
        <f t="shared" si="95"/>
        <v>7.508708628579968</v>
      </c>
      <c r="GD10" s="90"/>
      <c r="GE10" s="90">
        <v>1.0795000000000001E-2</v>
      </c>
      <c r="GF10" s="90">
        <f t="shared" si="96"/>
        <v>5.6548528000000005</v>
      </c>
      <c r="GG10" s="90">
        <v>0.71072749999999996</v>
      </c>
      <c r="GH10" s="90">
        <f t="shared" si="97"/>
        <v>4.0190593934120002</v>
      </c>
      <c r="GI10" s="90">
        <f t="shared" si="98"/>
        <v>6.0773231867507329</v>
      </c>
      <c r="GJ10" s="90">
        <f t="shared" si="99"/>
        <v>6.37</v>
      </c>
      <c r="GK10" s="90">
        <f>GJ10/($SP10-$HL10)*($SX10-$HN10)</f>
        <v>6.6852580053762845</v>
      </c>
      <c r="GL10" s="90">
        <f t="shared" si="100"/>
        <v>6.72</v>
      </c>
      <c r="GM10" s="90">
        <f t="shared" si="101"/>
        <v>7.1074552632466919</v>
      </c>
      <c r="GN10" s="90">
        <f t="shared" si="102"/>
        <v>7.1074552632466919</v>
      </c>
      <c r="GO10" s="90">
        <v>3170.4</v>
      </c>
      <c r="GP10" s="90">
        <f t="shared" si="103"/>
        <v>264.2</v>
      </c>
      <c r="GQ10" s="90">
        <f>2116.8+138.6</f>
        <v>2255.4</v>
      </c>
      <c r="GR10" s="90">
        <f t="shared" si="104"/>
        <v>187.95000000000002</v>
      </c>
      <c r="GS10" s="90">
        <f t="shared" si="105"/>
        <v>452.15</v>
      </c>
      <c r="GT10" s="90">
        <f t="shared" si="106"/>
        <v>0.69</v>
      </c>
      <c r="GU10" s="90">
        <v>3168.14</v>
      </c>
      <c r="GV10" s="90">
        <f>1755.68+115.72</f>
        <v>1871.4</v>
      </c>
      <c r="GW10" s="90">
        <f t="shared" si="107"/>
        <v>419.96166666666664</v>
      </c>
      <c r="GX10" s="90">
        <f t="shared" si="108"/>
        <v>0.64</v>
      </c>
      <c r="GY10" s="90">
        <v>5582.04</v>
      </c>
      <c r="GZ10" s="90">
        <f>1867.36+123.7</f>
        <v>1991.06</v>
      </c>
      <c r="HA10" s="90">
        <f t="shared" si="109"/>
        <v>631.0916666666667</v>
      </c>
      <c r="HB10" s="90">
        <f t="shared" si="110"/>
        <v>0.96</v>
      </c>
      <c r="HC10" s="90">
        <v>5582.04</v>
      </c>
      <c r="HD10" s="90">
        <f>1867.36+123.7</f>
        <v>1991.06</v>
      </c>
      <c r="HE10" s="90">
        <f t="shared" si="111"/>
        <v>631.0916666666667</v>
      </c>
      <c r="HF10" s="90">
        <f t="shared" si="112"/>
        <v>0.96</v>
      </c>
      <c r="HG10" s="90"/>
      <c r="HH10" s="90"/>
      <c r="HI10" s="90">
        <v>0.96</v>
      </c>
      <c r="HJ10" s="90">
        <f t="shared" si="113"/>
        <v>628.60799999999995</v>
      </c>
      <c r="HK10" s="90">
        <f t="shared" si="114"/>
        <v>1.0060781918142945</v>
      </c>
      <c r="HL10" s="90">
        <f t="shared" si="115"/>
        <v>658.78</v>
      </c>
      <c r="HM10" s="90">
        <v>1.07</v>
      </c>
      <c r="HN10" s="90">
        <f t="shared" si="116"/>
        <v>700.63599999999997</v>
      </c>
      <c r="HO10" s="90">
        <v>1.1499999999999999</v>
      </c>
      <c r="HP10" s="90">
        <f t="shared" si="117"/>
        <v>753.02</v>
      </c>
      <c r="HQ10" s="90">
        <v>1.1499999999999999</v>
      </c>
      <c r="HR10" s="90">
        <f t="shared" si="118"/>
        <v>753.02</v>
      </c>
      <c r="HS10" s="90">
        <v>0.31922099999999998</v>
      </c>
      <c r="HT10" s="90">
        <f t="shared" si="119"/>
        <v>209.02591079999996</v>
      </c>
      <c r="HU10" s="90" t="e">
        <f>HT10*#REF!</f>
        <v>#REF!</v>
      </c>
      <c r="HV10" s="90">
        <v>2.83</v>
      </c>
      <c r="HW10" s="90">
        <v>3.1</v>
      </c>
      <c r="HX10" s="90">
        <f t="shared" si="120"/>
        <v>2029.8799999999999</v>
      </c>
      <c r="HY10" s="90">
        <v>1.06</v>
      </c>
      <c r="HZ10" s="90">
        <f t="shared" si="121"/>
        <v>2151.6727999999998</v>
      </c>
      <c r="IA10" s="90">
        <f t="shared" si="122"/>
        <v>3.29</v>
      </c>
      <c r="IB10" s="90">
        <f t="shared" si="123"/>
        <v>3.45</v>
      </c>
      <c r="IC10" s="90">
        <f t="shared" si="124"/>
        <v>2259.06</v>
      </c>
      <c r="ID10" s="90">
        <f t="shared" si="125"/>
        <v>3.64</v>
      </c>
      <c r="IE10" s="90">
        <f t="shared" si="126"/>
        <v>2383.4699999999998</v>
      </c>
      <c r="IF10" s="90">
        <f t="shared" si="127"/>
        <v>3.64</v>
      </c>
      <c r="IG10" s="92">
        <f t="shared" si="128"/>
        <v>28601.64</v>
      </c>
      <c r="IH10" s="90">
        <v>3.91</v>
      </c>
      <c r="II10" s="90">
        <f t="shared" si="129"/>
        <v>4.1100000000000003</v>
      </c>
      <c r="IJ10" s="90">
        <f t="shared" si="130"/>
        <v>2691.23</v>
      </c>
      <c r="IK10" s="90">
        <f t="shared" si="131"/>
        <v>4.1100000000000003</v>
      </c>
      <c r="IL10" s="90">
        <f t="shared" si="132"/>
        <v>2691.23</v>
      </c>
      <c r="IM10" s="90">
        <f t="shared" si="133"/>
        <v>4.1100000000000003</v>
      </c>
      <c r="IN10" s="90">
        <f t="shared" si="134"/>
        <v>2691.23</v>
      </c>
      <c r="IO10" s="90">
        <f t="shared" si="135"/>
        <v>4.1100000000000003</v>
      </c>
      <c r="IP10" s="93">
        <v>0.37052404126999999</v>
      </c>
      <c r="IQ10" s="90">
        <f t="shared" si="136"/>
        <v>194.0953137788768</v>
      </c>
      <c r="IR10" s="90">
        <f t="shared" si="137"/>
        <v>205.7410326056094</v>
      </c>
      <c r="IS10" s="90">
        <v>108693.96</v>
      </c>
      <c r="IT10" s="90">
        <v>3053.33</v>
      </c>
      <c r="IU10" s="94"/>
      <c r="IV10" s="94"/>
      <c r="IW10" s="94">
        <v>1.697699125</v>
      </c>
      <c r="IX10" s="90">
        <f t="shared" si="138"/>
        <v>889.32270964000008</v>
      </c>
      <c r="IY10" s="93">
        <v>0.56339614052999998</v>
      </c>
      <c r="IZ10" s="90">
        <f t="shared" si="139"/>
        <v>368.91179281904397</v>
      </c>
      <c r="JA10" s="90">
        <f t="shared" si="140"/>
        <v>386.62</v>
      </c>
      <c r="JB10" s="90">
        <f>JA10/($SP10-$HL10)*($SX10-$HN10)</f>
        <v>405.75423077528711</v>
      </c>
      <c r="JC10" s="90">
        <f t="shared" si="141"/>
        <v>407.88</v>
      </c>
      <c r="JD10" s="90">
        <f t="shared" si="142"/>
        <v>431.37901944685024</v>
      </c>
      <c r="JE10" s="90">
        <f t="shared" si="143"/>
        <v>431.37901944685024</v>
      </c>
      <c r="JF10" s="93">
        <v>4.2278943710000003E-2</v>
      </c>
      <c r="JG10" s="90">
        <f t="shared" si="144"/>
        <v>22.147401873046402</v>
      </c>
      <c r="JH10" s="90">
        <f t="shared" si="145"/>
        <v>23.476245985429188</v>
      </c>
      <c r="JI10" s="20">
        <v>462.98</v>
      </c>
      <c r="JJ10" s="20"/>
      <c r="JK10" s="20">
        <v>6.0564350000000003E-2</v>
      </c>
      <c r="JL10" s="90">
        <f t="shared" si="146"/>
        <v>31.726029104000002</v>
      </c>
      <c r="JM10" s="93">
        <v>6.7347080040000007E-2</v>
      </c>
      <c r="JN10" s="90">
        <f t="shared" si="147"/>
        <v>44.098868010192</v>
      </c>
      <c r="JO10" s="90">
        <f t="shared" si="148"/>
        <v>46.22</v>
      </c>
      <c r="JP10" s="90">
        <f>JO10/($SP10-$HL10)*($SX10-$HN10)</f>
        <v>48.507476453452405</v>
      </c>
      <c r="JQ10" s="90">
        <f t="shared" si="149"/>
        <v>48.76</v>
      </c>
      <c r="JR10" s="90">
        <f t="shared" si="150"/>
        <v>51.570892035676934</v>
      </c>
      <c r="JS10" s="90">
        <f t="shared" si="151"/>
        <v>51.570892035676934</v>
      </c>
      <c r="JT10" s="93">
        <v>7.3220517000000002E-3</v>
      </c>
      <c r="JU10" s="90">
        <f t="shared" si="152"/>
        <v>3.8355835625280004</v>
      </c>
      <c r="JV10" s="90">
        <f t="shared" si="153"/>
        <v>4.0199999999999996</v>
      </c>
      <c r="JW10" s="90">
        <f>JV10/($SP10-$HL10)*($SX10-$HN10)</f>
        <v>4.2189540316503384</v>
      </c>
      <c r="JX10" s="90">
        <f t="shared" si="154"/>
        <v>4.24</v>
      </c>
      <c r="JY10" s="90">
        <f t="shared" si="155"/>
        <v>4.4853956292388846</v>
      </c>
      <c r="JZ10" s="90">
        <f t="shared" si="156"/>
        <v>4.4853956292388846</v>
      </c>
      <c r="KA10" s="90">
        <v>8.3091099999999998E-3</v>
      </c>
      <c r="KB10" s="90">
        <f t="shared" si="157"/>
        <v>4.3526441823999997</v>
      </c>
      <c r="KC10" s="90" t="e">
        <f>KB10*#REF!</f>
        <v>#REF!</v>
      </c>
      <c r="KD10" s="90">
        <v>34406.519999999997</v>
      </c>
      <c r="KE10" s="90">
        <v>40292.97</v>
      </c>
      <c r="KF10" s="90"/>
      <c r="KG10" s="90">
        <f t="shared" si="158"/>
        <v>766.82665831941165</v>
      </c>
      <c r="KH10" s="90" t="e">
        <f>KG10/(BW10+#REF!)*(CB10+#REF!)</f>
        <v>#REF!</v>
      </c>
      <c r="KI10" s="90">
        <v>0.8</v>
      </c>
      <c r="KJ10" s="94"/>
      <c r="KK10" s="90">
        <f t="shared" si="159"/>
        <v>0</v>
      </c>
      <c r="KL10" s="93">
        <v>1.1147001000000001</v>
      </c>
      <c r="KM10" s="90">
        <f t="shared" si="160"/>
        <v>729.90562548000003</v>
      </c>
      <c r="KN10" s="90">
        <f t="shared" si="161"/>
        <v>773.69996300880007</v>
      </c>
      <c r="KO10" s="90" t="e">
        <f>BW10+CN10+DC10+DS10+EG10+EV10+FK10+GB10+#REF!+#REF!+HJ10+HX10+IQ10+JG10+JU10+KK10+KM10</f>
        <v>#REF!</v>
      </c>
      <c r="KP10" s="90"/>
      <c r="KQ10" s="90">
        <v>0.50814739200000003</v>
      </c>
      <c r="KR10" s="90">
        <f t="shared" si="162"/>
        <v>332.73491228159997</v>
      </c>
      <c r="KS10" s="90">
        <v>0.71072749999999996</v>
      </c>
      <c r="KT10" s="90">
        <f t="shared" si="163"/>
        <v>236.48385236862083</v>
      </c>
      <c r="KU10" s="90">
        <f t="shared" si="164"/>
        <v>357.59332187222242</v>
      </c>
      <c r="KV10" s="90">
        <f t="shared" si="165"/>
        <v>374.76</v>
      </c>
      <c r="KW10" s="90">
        <f>KV10/($SP10-$HL10)*($SX10-$HN10)</f>
        <v>393.307266890866</v>
      </c>
      <c r="KX10" s="90">
        <f t="shared" si="166"/>
        <v>395.37</v>
      </c>
      <c r="KY10" s="90">
        <f t="shared" si="167"/>
        <v>418.14598657053853</v>
      </c>
      <c r="KZ10" s="90">
        <f t="shared" si="168"/>
        <v>418.14598657053853</v>
      </c>
      <c r="LA10" s="90">
        <f t="shared" si="169"/>
        <v>2566.8199999999997</v>
      </c>
      <c r="LB10" s="90">
        <f t="shared" si="170"/>
        <v>3.92</v>
      </c>
      <c r="LC10" s="92">
        <f t="shared" si="171"/>
        <v>30801.839999999997</v>
      </c>
      <c r="LD10" s="92">
        <v>4.21</v>
      </c>
      <c r="LE10" s="92">
        <v>2756.7100000000005</v>
      </c>
      <c r="LF10" s="90">
        <f t="shared" si="172"/>
        <v>4.18</v>
      </c>
      <c r="LG10" s="90">
        <f t="shared" si="173"/>
        <v>2737.06</v>
      </c>
      <c r="LH10" s="90">
        <f t="shared" si="174"/>
        <v>2759.3314999999998</v>
      </c>
      <c r="LI10" s="90">
        <f t="shared" si="175"/>
        <v>4.21</v>
      </c>
      <c r="LJ10" s="90">
        <f t="shared" si="176"/>
        <v>2737.0600000000004</v>
      </c>
      <c r="LK10" s="90">
        <f t="shared" si="177"/>
        <v>4.18</v>
      </c>
      <c r="LL10" s="90">
        <f t="shared" si="178"/>
        <v>2737.0600000000004</v>
      </c>
      <c r="LM10" s="90">
        <f t="shared" si="179"/>
        <v>4.18</v>
      </c>
      <c r="LN10" s="95">
        <v>0.46</v>
      </c>
      <c r="LO10" s="95">
        <f t="shared" si="180"/>
        <v>301.20999999999998</v>
      </c>
      <c r="LP10" s="95"/>
      <c r="LQ10" s="95">
        <f t="shared" si="181"/>
        <v>0</v>
      </c>
      <c r="LR10" s="90"/>
      <c r="LS10" s="90"/>
      <c r="LT10" s="90">
        <f t="shared" si="182"/>
        <v>0</v>
      </c>
      <c r="LU10" s="90"/>
      <c r="LV10" s="90">
        <f t="shared" si="183"/>
        <v>0</v>
      </c>
      <c r="LW10" s="90">
        <f t="shared" si="184"/>
        <v>0</v>
      </c>
      <c r="LX10" s="90"/>
      <c r="LY10" s="90"/>
      <c r="LZ10" s="90">
        <f t="shared" si="185"/>
        <v>0</v>
      </c>
      <c r="MA10" s="90"/>
      <c r="MB10" s="90">
        <f t="shared" si="186"/>
        <v>0</v>
      </c>
      <c r="MC10" s="90">
        <f t="shared" si="187"/>
        <v>0</v>
      </c>
      <c r="MD10" s="90"/>
      <c r="ME10" s="90"/>
      <c r="MF10" s="90">
        <f t="shared" si="188"/>
        <v>0</v>
      </c>
      <c r="MG10" s="90"/>
      <c r="MH10" s="90">
        <f t="shared" si="189"/>
        <v>0</v>
      </c>
      <c r="MI10" s="90">
        <f t="shared" si="190"/>
        <v>0</v>
      </c>
      <c r="MJ10" s="90"/>
      <c r="MK10" s="90"/>
      <c r="ML10" s="90">
        <f t="shared" si="191"/>
        <v>0</v>
      </c>
      <c r="MM10" s="90"/>
      <c r="MN10" s="90">
        <f t="shared" si="192"/>
        <v>0</v>
      </c>
      <c r="MO10" s="90">
        <f t="shared" si="193"/>
        <v>0</v>
      </c>
      <c r="MP10" s="90">
        <f t="shared" si="194"/>
        <v>0</v>
      </c>
      <c r="MQ10" s="90">
        <f t="shared" si="195"/>
        <v>0</v>
      </c>
      <c r="MR10" s="90">
        <f t="shared" si="196"/>
        <v>0</v>
      </c>
      <c r="MS10" s="90">
        <f t="shared" si="197"/>
        <v>0</v>
      </c>
      <c r="MT10" s="95"/>
      <c r="MU10" s="95">
        <f t="shared" si="198"/>
        <v>0</v>
      </c>
      <c r="MV10" s="92">
        <f t="shared" si="199"/>
        <v>0</v>
      </c>
      <c r="MW10" s="95"/>
      <c r="MX10" s="95">
        <f t="shared" si="200"/>
        <v>0</v>
      </c>
      <c r="MY10" s="95"/>
      <c r="MZ10" s="95">
        <f t="shared" si="201"/>
        <v>0</v>
      </c>
      <c r="NA10" s="95"/>
      <c r="NB10" s="95">
        <f t="shared" si="202"/>
        <v>0</v>
      </c>
      <c r="NC10" s="92">
        <f t="shared" si="203"/>
        <v>0</v>
      </c>
      <c r="ND10" s="95"/>
      <c r="NE10" s="95">
        <f t="shared" si="204"/>
        <v>0</v>
      </c>
      <c r="NF10" s="95"/>
      <c r="NG10" s="95">
        <f t="shared" si="205"/>
        <v>0</v>
      </c>
      <c r="NH10" s="95"/>
      <c r="NI10" s="95"/>
      <c r="NJ10" s="95">
        <f t="shared" si="206"/>
        <v>0</v>
      </c>
      <c r="NK10" s="92">
        <f t="shared" si="207"/>
        <v>0</v>
      </c>
      <c r="NL10" s="95"/>
      <c r="NM10" s="95">
        <f t="shared" si="208"/>
        <v>0</v>
      </c>
      <c r="NN10" s="95"/>
      <c r="NO10" s="95">
        <f t="shared" si="209"/>
        <v>0</v>
      </c>
      <c r="NP10" s="95"/>
      <c r="NQ10" s="95">
        <f t="shared" si="210"/>
        <v>0</v>
      </c>
      <c r="NR10" s="92">
        <f t="shared" si="211"/>
        <v>0</v>
      </c>
      <c r="NS10" s="95"/>
      <c r="NT10" s="95">
        <f t="shared" si="212"/>
        <v>0</v>
      </c>
      <c r="NU10" s="95"/>
      <c r="NV10" s="95">
        <f t="shared" si="213"/>
        <v>0</v>
      </c>
      <c r="NW10" s="95"/>
      <c r="NX10" s="95">
        <f t="shared" si="214"/>
        <v>0</v>
      </c>
      <c r="NY10" s="92">
        <f t="shared" si="215"/>
        <v>0</v>
      </c>
      <c r="NZ10" s="95"/>
      <c r="OA10" s="95">
        <f t="shared" si="216"/>
        <v>0</v>
      </c>
      <c r="OB10" s="95"/>
      <c r="OC10" s="95">
        <f t="shared" si="217"/>
        <v>0</v>
      </c>
      <c r="OD10" s="90">
        <v>3411.51</v>
      </c>
      <c r="OE10" s="90">
        <f t="shared" si="218"/>
        <v>5.21</v>
      </c>
      <c r="OF10" s="92">
        <f t="shared" si="219"/>
        <v>40938.120000000003</v>
      </c>
      <c r="OG10" s="96">
        <v>891.85</v>
      </c>
      <c r="OH10" s="96">
        <v>1.36</v>
      </c>
      <c r="OI10" s="90">
        <v>6580.74</v>
      </c>
      <c r="OJ10" s="90">
        <f t="shared" si="220"/>
        <v>10.050000000000001</v>
      </c>
      <c r="OK10" s="90">
        <f t="shared" si="221"/>
        <v>4303.3600000000006</v>
      </c>
      <c r="OL10" s="90">
        <f t="shared" si="222"/>
        <v>6.57</v>
      </c>
      <c r="OM10" s="90">
        <f t="shared" si="223"/>
        <v>3.4800000000000004</v>
      </c>
      <c r="ON10" s="90">
        <v>5690.21</v>
      </c>
      <c r="OO10" s="90">
        <f t="shared" si="224"/>
        <v>8.69</v>
      </c>
      <c r="OP10" s="90">
        <v>5688.8899999999994</v>
      </c>
      <c r="OQ10" s="90">
        <v>8.69</v>
      </c>
      <c r="OR10" s="90">
        <f t="shared" si="225"/>
        <v>0</v>
      </c>
      <c r="OS10" s="90">
        <f t="shared" si="226"/>
        <v>8.6900000000000013</v>
      </c>
      <c r="OT10" s="90">
        <v>5690.21</v>
      </c>
      <c r="OU10" s="90">
        <f t="shared" si="227"/>
        <v>8.69</v>
      </c>
      <c r="OV10" s="97">
        <v>2763.26</v>
      </c>
      <c r="OW10" s="90">
        <f t="shared" si="228"/>
        <v>2763.26</v>
      </c>
      <c r="OX10" s="90">
        <f t="shared" si="229"/>
        <v>4.22</v>
      </c>
      <c r="OY10" s="90">
        <f>OU10-1-3.47</f>
        <v>4.2199999999999989</v>
      </c>
      <c r="OZ10" s="90"/>
      <c r="PA10" s="90"/>
      <c r="PB10" s="95">
        <f t="shared" si="230"/>
        <v>0</v>
      </c>
      <c r="PC10" s="92">
        <f t="shared" si="231"/>
        <v>0</v>
      </c>
      <c r="PD10" s="90"/>
      <c r="PE10" s="95">
        <f t="shared" si="232"/>
        <v>0</v>
      </c>
      <c r="PF10" s="90">
        <f t="shared" si="233"/>
        <v>9705.7999999999993</v>
      </c>
      <c r="PG10" s="90">
        <f t="shared" si="234"/>
        <v>14.82</v>
      </c>
      <c r="PH10" s="90">
        <f t="shared" si="235"/>
        <v>11364.341666666665</v>
      </c>
      <c r="PI10" s="90">
        <f t="shared" si="236"/>
        <v>17.36</v>
      </c>
      <c r="PJ10" s="90">
        <f t="shared" si="237"/>
        <v>11364.341666666665</v>
      </c>
      <c r="PK10" s="90">
        <f t="shared" si="238"/>
        <v>17.36</v>
      </c>
      <c r="PL10" s="90"/>
      <c r="PM10" s="90">
        <f t="shared" si="239"/>
        <v>291.17</v>
      </c>
      <c r="PN10" s="90">
        <f t="shared" si="240"/>
        <v>0.44</v>
      </c>
      <c r="PO10" s="92">
        <f t="shared" si="241"/>
        <v>3494.04</v>
      </c>
      <c r="PP10" s="90">
        <f t="shared" si="242"/>
        <v>340.93</v>
      </c>
      <c r="PQ10" s="90">
        <f t="shared" si="243"/>
        <v>0.52</v>
      </c>
      <c r="PR10" s="90">
        <f t="shared" si="244"/>
        <v>340.93</v>
      </c>
      <c r="PS10" s="90">
        <f t="shared" si="245"/>
        <v>0.52</v>
      </c>
      <c r="PT10" s="90">
        <f t="shared" si="246"/>
        <v>9996.9699999999993</v>
      </c>
      <c r="PU10" s="90">
        <f t="shared" si="247"/>
        <v>15.27</v>
      </c>
      <c r="PV10" s="90">
        <f t="shared" si="248"/>
        <v>11705.271666666666</v>
      </c>
      <c r="PW10" s="90">
        <f t="shared" si="249"/>
        <v>17.88</v>
      </c>
      <c r="PX10" s="90">
        <f t="shared" si="250"/>
        <v>11705.271666666666</v>
      </c>
      <c r="PY10" s="90">
        <f t="shared" si="251"/>
        <v>17.88</v>
      </c>
      <c r="PZ10" s="90">
        <f t="shared" si="252"/>
        <v>100.98</v>
      </c>
      <c r="QA10" s="90">
        <f t="shared" si="253"/>
        <v>0.15</v>
      </c>
      <c r="QB10" s="92">
        <f t="shared" si="254"/>
        <v>1211.76</v>
      </c>
      <c r="QC10" s="90">
        <f t="shared" si="255"/>
        <v>118.24</v>
      </c>
      <c r="QD10" s="90">
        <f t="shared" si="256"/>
        <v>0.18</v>
      </c>
      <c r="QE10" s="90">
        <f t="shared" si="257"/>
        <v>118.24</v>
      </c>
      <c r="QF10" s="90">
        <f t="shared" si="258"/>
        <v>0.18</v>
      </c>
      <c r="QG10" s="90">
        <f t="shared" si="259"/>
        <v>10097.949999999999</v>
      </c>
      <c r="QH10" s="90">
        <f t="shared" si="260"/>
        <v>15.42</v>
      </c>
      <c r="QI10" s="92">
        <f t="shared" si="261"/>
        <v>121175.4</v>
      </c>
      <c r="QJ10" s="90">
        <f t="shared" si="262"/>
        <v>408.72726689086602</v>
      </c>
      <c r="QK10" s="98">
        <f t="shared" si="263"/>
        <v>0.25169999999999998</v>
      </c>
      <c r="QL10" s="90">
        <f t="shared" si="264"/>
        <v>164.81315999999998</v>
      </c>
      <c r="QM10" s="90">
        <f t="shared" si="265"/>
        <v>0.1128</v>
      </c>
      <c r="QN10" s="90">
        <f t="shared" si="266"/>
        <v>73.861439999999988</v>
      </c>
      <c r="QO10" s="90">
        <v>0.21869999999999998</v>
      </c>
      <c r="QP10" s="90">
        <v>0.14579999999999999</v>
      </c>
      <c r="QQ10" s="97">
        <f t="shared" si="267"/>
        <v>238.67459999999997</v>
      </c>
      <c r="QR10" s="97">
        <v>238.67459999999994</v>
      </c>
      <c r="QS10" s="97">
        <f t="shared" si="268"/>
        <v>0</v>
      </c>
      <c r="QT10" s="90"/>
      <c r="QU10" s="90">
        <f t="shared" si="269"/>
        <v>0.1128</v>
      </c>
      <c r="QV10" s="90">
        <f t="shared" si="270"/>
        <v>73.861439999999988</v>
      </c>
      <c r="QW10" s="90">
        <f t="shared" si="271"/>
        <v>238.67459999999997</v>
      </c>
      <c r="QX10" s="90">
        <f t="shared" si="272"/>
        <v>0.36449999999999999</v>
      </c>
      <c r="QY10" s="90"/>
      <c r="QZ10" s="90"/>
      <c r="RA10" s="90"/>
      <c r="RB10" s="90">
        <v>2436.96</v>
      </c>
      <c r="RC10" s="97">
        <f t="shared" si="273"/>
        <v>10097.949999999999</v>
      </c>
      <c r="RD10" s="97">
        <f t="shared" si="274"/>
        <v>15.42</v>
      </c>
      <c r="RE10" s="90">
        <f t="shared" si="275"/>
        <v>11823.511666666665</v>
      </c>
      <c r="RF10" s="90">
        <f t="shared" si="276"/>
        <v>18.059999999999999</v>
      </c>
      <c r="RG10" s="90">
        <f t="shared" si="277"/>
        <v>117.1966255678131</v>
      </c>
      <c r="RH10" s="90">
        <f t="shared" si="278"/>
        <v>11823.511666666665</v>
      </c>
      <c r="RI10" s="90">
        <f t="shared" si="279"/>
        <v>18.059999999999999</v>
      </c>
      <c r="RJ10" s="90">
        <v>17.760000000000002</v>
      </c>
      <c r="RK10" s="90">
        <v>0</v>
      </c>
      <c r="RL10" s="90">
        <f t="shared" si="280"/>
        <v>0.29999999999999716</v>
      </c>
      <c r="RM10" s="90">
        <f t="shared" si="281"/>
        <v>107.37656157049375</v>
      </c>
      <c r="RN10" s="90">
        <f t="shared" si="282"/>
        <v>6444.6799999999994</v>
      </c>
      <c r="RO10" s="90"/>
      <c r="RP10" s="90"/>
      <c r="RQ10" s="99">
        <v>243</v>
      </c>
      <c r="RR10" s="90">
        <f t="shared" si="283"/>
        <v>6686.4399999999987</v>
      </c>
      <c r="RS10" s="90">
        <f t="shared" si="284"/>
        <v>10.211423335369577</v>
      </c>
      <c r="RT10" s="90">
        <v>11.28</v>
      </c>
      <c r="RU10" s="90">
        <f t="shared" si="285"/>
        <v>7386.1439999999993</v>
      </c>
      <c r="RV10" s="90">
        <f t="shared" si="286"/>
        <v>0.6242016904258797</v>
      </c>
      <c r="RW10" s="100">
        <v>10.43</v>
      </c>
      <c r="RX10" s="90">
        <f t="shared" si="287"/>
        <v>10.951499999999999</v>
      </c>
      <c r="RY10" s="90">
        <f t="shared" si="288"/>
        <v>7171.042199999999</v>
      </c>
      <c r="RZ10" s="90">
        <f t="shared" si="289"/>
        <v>1891.87562895111</v>
      </c>
      <c r="SA10" s="90">
        <f t="shared" si="290"/>
        <v>846.42138455934617</v>
      </c>
      <c r="SB10" s="90">
        <f t="shared" si="291"/>
        <v>1279.8955682456758</v>
      </c>
      <c r="SC10" s="90">
        <f t="shared" si="292"/>
        <v>2325.3498126374398</v>
      </c>
      <c r="SD10" s="90">
        <f t="shared" si="293"/>
        <v>2325.3498126374398</v>
      </c>
      <c r="SE10" s="90">
        <f t="shared" si="294"/>
        <v>2360.3658371636093</v>
      </c>
      <c r="SF10" s="90">
        <f t="shared" si="295"/>
        <v>2325.2154833254722</v>
      </c>
      <c r="SG10" s="90">
        <f t="shared" si="296"/>
        <v>0.13432931196757636</v>
      </c>
      <c r="SH10" s="90">
        <f t="shared" si="297"/>
        <v>2325.3498126374398</v>
      </c>
      <c r="SI10" s="90">
        <f t="shared" si="298"/>
        <v>3.5512367328000001</v>
      </c>
      <c r="SJ10" s="90">
        <f t="shared" si="299"/>
        <v>3.5510315872411002</v>
      </c>
      <c r="SK10" s="90"/>
      <c r="SL10" s="90"/>
      <c r="SM10" s="90"/>
      <c r="SN10" s="90">
        <f t="shared" si="300"/>
        <v>2489.5199999999995</v>
      </c>
      <c r="SO10" s="90" t="e">
        <f>RU10-#REF!-#REF!-HZ10-LT10-LZ10-MF10-ML10-QL10-QN10-SD10</f>
        <v>#REF!</v>
      </c>
      <c r="SP10" s="90">
        <f t="shared" si="301"/>
        <v>2436.96</v>
      </c>
      <c r="SQ10" s="90">
        <f t="shared" si="302"/>
        <v>2566.8199999999997</v>
      </c>
      <c r="SR10" s="90">
        <f t="shared" si="303"/>
        <v>3.7216860109957244</v>
      </c>
      <c r="SS10" s="90">
        <f t="shared" si="304"/>
        <v>3.9200061087354916</v>
      </c>
      <c r="ST10" s="90">
        <f t="shared" si="305"/>
        <v>2576.6060000000002</v>
      </c>
      <c r="SU10" s="90">
        <v>3.7216860109957244</v>
      </c>
      <c r="SV10" s="90">
        <f t="shared" si="306"/>
        <v>3.93</v>
      </c>
      <c r="SW10" s="90">
        <v>3.92</v>
      </c>
      <c r="SX10" s="90">
        <f t="shared" si="307"/>
        <v>2566.8200000000002</v>
      </c>
      <c r="SY10" s="90">
        <v>3.7216860109957244</v>
      </c>
      <c r="SZ10" s="90">
        <f t="shared" si="308"/>
        <v>2436.96</v>
      </c>
      <c r="TA10" s="90">
        <f t="shared" si="309"/>
        <v>0</v>
      </c>
      <c r="TB10" s="90">
        <v>0</v>
      </c>
      <c r="TC10" s="90">
        <f t="shared" si="310"/>
        <v>1371.6493999999989</v>
      </c>
      <c r="TD10" s="90" t="e">
        <f>#REF!+#REF!</f>
        <v>#REF!</v>
      </c>
      <c r="TE10" s="90" t="e">
        <f t="shared" si="311"/>
        <v>#REF!</v>
      </c>
      <c r="TF10" s="90">
        <v>1338.7293999999988</v>
      </c>
      <c r="TG10" s="90">
        <f t="shared" si="312"/>
        <v>18.570574849339508</v>
      </c>
      <c r="TH10" s="95"/>
      <c r="TI10" s="95"/>
      <c r="TJ10" s="95"/>
      <c r="TK10" s="95"/>
      <c r="TL10" s="95"/>
      <c r="TM10" s="95">
        <f t="shared" si="313"/>
        <v>0</v>
      </c>
      <c r="TN10" s="95">
        <f t="shared" si="314"/>
        <v>7386.1439999999993</v>
      </c>
      <c r="TO10" s="95">
        <f t="shared" si="315"/>
        <v>18.570574849339508</v>
      </c>
      <c r="TP10" s="95"/>
      <c r="TQ10" s="95">
        <f t="shared" si="316"/>
        <v>11.28</v>
      </c>
      <c r="TR10" s="95"/>
      <c r="TS10" s="95"/>
      <c r="TT10" s="95"/>
      <c r="TU10" s="95"/>
      <c r="TV10" s="95"/>
      <c r="TW10" s="95"/>
      <c r="TX10" s="95"/>
      <c r="TY10" s="95"/>
      <c r="TZ10" s="95">
        <f t="shared" si="317"/>
        <v>3.2313829787234045</v>
      </c>
      <c r="UA10" s="95">
        <f t="shared" si="318"/>
        <v>0.49632000000000004</v>
      </c>
      <c r="UB10" s="90">
        <v>0</v>
      </c>
      <c r="UC10" s="90">
        <f t="shared" si="319"/>
        <v>0</v>
      </c>
      <c r="UD10" s="90">
        <f t="shared" si="320"/>
        <v>0</v>
      </c>
      <c r="UE10" s="90">
        <f t="shared" si="321"/>
        <v>0</v>
      </c>
      <c r="UF10" s="90">
        <f t="shared" si="322"/>
        <v>7386.1439999999993</v>
      </c>
      <c r="UG10" s="91">
        <f t="shared" si="323"/>
        <v>0</v>
      </c>
      <c r="UH10" s="95">
        <f t="shared" si="324"/>
        <v>18.570574849339508</v>
      </c>
      <c r="UI10" s="95">
        <f t="shared" si="325"/>
        <v>7386.1439999999993</v>
      </c>
      <c r="UJ10" s="101">
        <f t="shared" si="326"/>
        <v>0</v>
      </c>
      <c r="UK10" s="101">
        <f t="shared" si="327"/>
        <v>18.570574849339508</v>
      </c>
      <c r="UL10" s="90" t="e">
        <f>(#REF!+#REF!+HZ10+LT10+LZ10+MF10+ML10+QL10+QN10+SN10+TC10+TM10+UC10)/I10</f>
        <v>#REF!</v>
      </c>
      <c r="UN10" s="90" t="e">
        <f>#REF!/I10</f>
        <v>#REF!</v>
      </c>
      <c r="UO10" s="90" t="e">
        <f>#REF!/I10</f>
        <v>#REF!</v>
      </c>
      <c r="UP10" s="90">
        <v>1.1499999999999999</v>
      </c>
      <c r="UQ10" s="90" t="e">
        <f t="shared" si="328"/>
        <v>#REF!</v>
      </c>
      <c r="UR10" s="90">
        <f t="shared" si="329"/>
        <v>6686.4399999999987</v>
      </c>
      <c r="US10" s="90">
        <f t="shared" si="330"/>
        <v>8547.9116666666669</v>
      </c>
      <c r="UT10" s="90">
        <f t="shared" si="331"/>
        <v>8547.9116666666669</v>
      </c>
      <c r="UU10" s="90">
        <f t="shared" si="332"/>
        <v>8849.121666666666</v>
      </c>
      <c r="UV10" s="90">
        <f t="shared" si="333"/>
        <v>8759.0416666666661</v>
      </c>
      <c r="UW10" s="90">
        <f t="shared" si="334"/>
        <v>5.97</v>
      </c>
      <c r="UX10" s="90">
        <f t="shared" si="335"/>
        <v>3.92</v>
      </c>
      <c r="UY10" s="90">
        <f t="shared" si="336"/>
        <v>3.8019547953573607</v>
      </c>
      <c r="UZ10" s="100">
        <f t="shared" si="337"/>
        <v>3.5512367328000001</v>
      </c>
      <c r="VA10" s="90">
        <f t="shared" si="338"/>
        <v>0.69</v>
      </c>
      <c r="VB10" s="90">
        <f t="shared" si="339"/>
        <v>1.36</v>
      </c>
      <c r="VC10" s="90">
        <f t="shared" si="340"/>
        <v>0</v>
      </c>
      <c r="VD10" s="90">
        <f t="shared" si="341"/>
        <v>0</v>
      </c>
      <c r="VE10" s="90">
        <f t="shared" si="342"/>
        <v>0</v>
      </c>
      <c r="VF10" s="90">
        <f t="shared" si="343"/>
        <v>0</v>
      </c>
      <c r="VG10" s="90">
        <f t="shared" si="344"/>
        <v>0</v>
      </c>
      <c r="VH10" s="90">
        <f t="shared" si="345"/>
        <v>0</v>
      </c>
      <c r="VI10" s="90">
        <f t="shared" si="346"/>
        <v>0</v>
      </c>
      <c r="VJ10" s="90">
        <f t="shared" si="347"/>
        <v>0</v>
      </c>
      <c r="VK10" s="90">
        <f t="shared" si="348"/>
        <v>0.63</v>
      </c>
      <c r="VL10" s="90">
        <f t="shared" si="349"/>
        <v>3.64</v>
      </c>
      <c r="VM10" s="90">
        <f t="shared" si="350"/>
        <v>5.21</v>
      </c>
      <c r="VN10" s="90">
        <f t="shared" si="351"/>
        <v>0</v>
      </c>
      <c r="VO10" s="90">
        <f t="shared" si="352"/>
        <v>5.21</v>
      </c>
      <c r="VP10" s="97">
        <v>0</v>
      </c>
      <c r="VQ10" s="97">
        <v>5.21</v>
      </c>
      <c r="VR10" s="90">
        <f t="shared" si="353"/>
        <v>0.44</v>
      </c>
      <c r="VS10" s="90">
        <f t="shared" si="354"/>
        <v>0.15</v>
      </c>
      <c r="VT10" s="90">
        <v>0.11989898989898991</v>
      </c>
      <c r="VU10" s="90">
        <f t="shared" si="355"/>
        <v>0.15410000000000001</v>
      </c>
      <c r="VV10" s="90">
        <v>0.38175323599898991</v>
      </c>
      <c r="VW10" s="90">
        <f t="shared" si="356"/>
        <v>0.59</v>
      </c>
      <c r="VX10" s="90">
        <f t="shared" si="357"/>
        <v>15.41</v>
      </c>
      <c r="VY10" s="90">
        <f t="shared" si="358"/>
        <v>15.41</v>
      </c>
      <c r="VZ10" s="90">
        <f t="shared" si="359"/>
        <v>0</v>
      </c>
      <c r="WA10" s="90"/>
      <c r="WB10" s="90">
        <f t="shared" si="360"/>
        <v>15.41</v>
      </c>
      <c r="WC10" s="90">
        <f t="shared" si="361"/>
        <v>0</v>
      </c>
      <c r="WD10" s="90"/>
      <c r="WE10" s="90">
        <v>15.41</v>
      </c>
      <c r="WF10" s="90"/>
      <c r="WG10" s="90">
        <f t="shared" si="362"/>
        <v>10090.467999999999</v>
      </c>
      <c r="WH10" s="90">
        <f t="shared" si="363"/>
        <v>10090.467999999999</v>
      </c>
      <c r="WI10" s="90">
        <f t="shared" si="364"/>
        <v>10097.949999999999</v>
      </c>
      <c r="WJ10" s="90">
        <f t="shared" si="365"/>
        <v>6686.4399999999987</v>
      </c>
      <c r="WK10" s="97">
        <v>3411.51</v>
      </c>
      <c r="WL10" s="97">
        <v>5.21</v>
      </c>
      <c r="WM10" s="90">
        <f t="shared" si="366"/>
        <v>3411.51</v>
      </c>
      <c r="WN10" s="90">
        <f t="shared" si="367"/>
        <v>5.21</v>
      </c>
      <c r="WO10" s="90"/>
      <c r="WP10" s="97">
        <v>15.41</v>
      </c>
      <c r="WQ10" s="90">
        <f t="shared" si="368"/>
        <v>15.41</v>
      </c>
      <c r="WR10" s="91">
        <f t="shared" si="369"/>
        <v>136.61347517730496</v>
      </c>
      <c r="WS10" s="91">
        <f t="shared" si="370"/>
        <v>136.61347517730496</v>
      </c>
      <c r="WT10" s="90">
        <f t="shared" si="371"/>
        <v>10090.469999999999</v>
      </c>
      <c r="WU10" s="90">
        <f t="shared" si="372"/>
        <v>10097.949999999999</v>
      </c>
      <c r="WV10" s="90">
        <f t="shared" si="373"/>
        <v>-7.4799999999995634</v>
      </c>
      <c r="WW10" s="90"/>
      <c r="WX10" s="90"/>
      <c r="WY10" s="90"/>
      <c r="WZ10" s="90">
        <f t="shared" si="374"/>
        <v>1.8319959595959596</v>
      </c>
      <c r="XA10" s="90">
        <v>0</v>
      </c>
      <c r="XB10" s="90">
        <f t="shared" si="375"/>
        <v>1.8319959595959596</v>
      </c>
      <c r="XC10" s="90">
        <f t="shared" si="376"/>
        <v>0.35759999999999997</v>
      </c>
      <c r="XD10" s="90">
        <f t="shared" si="377"/>
        <v>0.1204040404040404</v>
      </c>
      <c r="XE10" s="90"/>
      <c r="XF10" s="90">
        <f t="shared" si="378"/>
        <v>11.92</v>
      </c>
      <c r="XG10" s="90">
        <v>2.0444859499083674</v>
      </c>
      <c r="XH10" s="20">
        <v>11.28</v>
      </c>
      <c r="XI10" s="20">
        <v>0</v>
      </c>
      <c r="XJ10" s="20"/>
      <c r="XK10" s="20"/>
      <c r="XL10" s="20"/>
      <c r="XM10" s="20">
        <f t="shared" si="379"/>
        <v>11.28</v>
      </c>
      <c r="XN10" s="91">
        <f t="shared" si="380"/>
        <v>136.61347517730496</v>
      </c>
      <c r="XO10" s="20">
        <f t="shared" si="381"/>
        <v>11.28</v>
      </c>
      <c r="XP10" s="90">
        <f t="shared" si="382"/>
        <v>11.28</v>
      </c>
      <c r="XQ10" s="91">
        <f t="shared" si="383"/>
        <v>136.61347517730496</v>
      </c>
      <c r="XR10" s="102"/>
      <c r="XS10" s="90">
        <f t="shared" si="384"/>
        <v>3.64</v>
      </c>
      <c r="XT10" s="90">
        <f t="shared" si="385"/>
        <v>5.97</v>
      </c>
      <c r="XU10" s="90">
        <f t="shared" si="386"/>
        <v>3.92</v>
      </c>
      <c r="XV10" s="90">
        <f t="shared" si="387"/>
        <v>0.69</v>
      </c>
      <c r="XW10" s="90">
        <f t="shared" si="388"/>
        <v>0.69</v>
      </c>
      <c r="XX10" s="90">
        <f t="shared" si="389"/>
        <v>0</v>
      </c>
      <c r="XY10" s="90">
        <f t="shared" si="390"/>
        <v>1.36</v>
      </c>
      <c r="XZ10" s="90">
        <f t="shared" si="391"/>
        <v>0</v>
      </c>
      <c r="YA10" s="90">
        <f t="shared" si="392"/>
        <v>0</v>
      </c>
      <c r="YB10" s="90">
        <f t="shared" si="393"/>
        <v>0</v>
      </c>
      <c r="YC10" s="90">
        <f t="shared" si="393"/>
        <v>0</v>
      </c>
      <c r="YD10" s="90">
        <f t="shared" si="394"/>
        <v>1.36</v>
      </c>
      <c r="YE10" s="90">
        <f t="shared" si="395"/>
        <v>5.21</v>
      </c>
      <c r="YF10" s="90">
        <f t="shared" si="396"/>
        <v>0.59</v>
      </c>
      <c r="YG10" s="90">
        <f t="shared" si="397"/>
        <v>15.41</v>
      </c>
      <c r="YI10" s="103" t="s">
        <v>442</v>
      </c>
      <c r="YK10" s="90">
        <f t="shared" si="398"/>
        <v>1.07</v>
      </c>
      <c r="YL10" s="90">
        <f t="shared" si="399"/>
        <v>0.69</v>
      </c>
      <c r="YM10" s="90">
        <f t="shared" si="399"/>
        <v>1.36</v>
      </c>
      <c r="YN10" s="90">
        <f t="shared" si="400"/>
        <v>3.64</v>
      </c>
      <c r="YO10" s="90">
        <f t="shared" si="401"/>
        <v>8.6499999999999986</v>
      </c>
      <c r="YP10" s="90">
        <f t="shared" si="402"/>
        <v>0</v>
      </c>
      <c r="YQ10" s="90">
        <f t="shared" si="403"/>
        <v>15.41</v>
      </c>
      <c r="YR10" s="90">
        <f t="shared" si="404"/>
        <v>0</v>
      </c>
      <c r="YS10" s="104">
        <f t="shared" si="405"/>
        <v>15.409999999999998</v>
      </c>
      <c r="YT10" s="104">
        <f t="shared" si="406"/>
        <v>0</v>
      </c>
      <c r="YY10" s="90">
        <f t="shared" si="407"/>
        <v>8.2399999999999984</v>
      </c>
      <c r="YZ10" s="90">
        <f t="shared" si="408"/>
        <v>4.18</v>
      </c>
      <c r="ZA10" s="90">
        <f t="shared" si="409"/>
        <v>0.64</v>
      </c>
      <c r="ZB10" s="90">
        <f t="shared" si="410"/>
        <v>3.42</v>
      </c>
      <c r="ZC10" s="90">
        <f t="shared" si="411"/>
        <v>0</v>
      </c>
      <c r="ZD10" s="90">
        <f t="shared" si="412"/>
        <v>0</v>
      </c>
      <c r="ZE10" s="90">
        <f t="shared" si="413"/>
        <v>0</v>
      </c>
      <c r="ZF10" s="90">
        <f t="shared" si="414"/>
        <v>0</v>
      </c>
      <c r="ZG10" s="90">
        <f t="shared" si="415"/>
        <v>0</v>
      </c>
      <c r="ZH10" s="90">
        <f t="shared" si="416"/>
        <v>0</v>
      </c>
      <c r="ZI10" s="90">
        <f t="shared" si="417"/>
        <v>0</v>
      </c>
      <c r="ZJ10" s="90">
        <f t="shared" si="418"/>
        <v>0</v>
      </c>
      <c r="ZK10" s="90">
        <f t="shared" si="419"/>
        <v>0</v>
      </c>
      <c r="ZL10" s="90">
        <f t="shared" si="420"/>
        <v>0.02</v>
      </c>
      <c r="ZM10" s="90">
        <f t="shared" si="421"/>
        <v>4.1100000000000003</v>
      </c>
      <c r="ZN10" s="90">
        <f t="shared" si="422"/>
        <v>7.64</v>
      </c>
      <c r="ZO10" s="90">
        <f t="shared" si="423"/>
        <v>6.57</v>
      </c>
      <c r="ZP10" s="90">
        <f t="shared" si="424"/>
        <v>4.22</v>
      </c>
      <c r="ZQ10" s="90">
        <f t="shared" si="425"/>
        <v>0</v>
      </c>
      <c r="ZR10" s="90">
        <f t="shared" si="426"/>
        <v>4.22</v>
      </c>
      <c r="ZS10" s="97">
        <v>227</v>
      </c>
      <c r="ZT10" s="97">
        <v>230.38</v>
      </c>
      <c r="ZU10" s="90">
        <f t="shared" si="427"/>
        <v>0.52</v>
      </c>
      <c r="ZV10" s="90">
        <f t="shared" si="428"/>
        <v>0.18</v>
      </c>
      <c r="ZW10" s="90">
        <v>0.11989898989898991</v>
      </c>
      <c r="ZX10" s="90">
        <f t="shared" si="429"/>
        <v>0.17269999999999996</v>
      </c>
      <c r="ZY10" s="90">
        <v>0.38175323599898991</v>
      </c>
      <c r="ZZ10" s="90">
        <f t="shared" si="430"/>
        <v>0.7</v>
      </c>
      <c r="AAA10" s="90">
        <f t="shared" si="431"/>
        <v>17.269999999999996</v>
      </c>
      <c r="AAB10" s="90">
        <f t="shared" si="432"/>
        <v>17.269999999999996</v>
      </c>
      <c r="AAC10" s="90">
        <f t="shared" si="433"/>
        <v>0</v>
      </c>
      <c r="AAD10" s="90"/>
      <c r="AAE10" s="90">
        <f t="shared" si="434"/>
        <v>17.269999999999996</v>
      </c>
      <c r="AAF10" s="90">
        <v>15.41</v>
      </c>
      <c r="AAG10" s="90">
        <f t="shared" si="435"/>
        <v>112.07008436080466</v>
      </c>
      <c r="AAH10" s="90">
        <f t="shared" si="436"/>
        <v>0</v>
      </c>
      <c r="AAI10" s="90">
        <v>0</v>
      </c>
      <c r="AAJ10" s="90"/>
      <c r="AAK10" s="1">
        <v>16.809999999999999</v>
      </c>
      <c r="AAL10" s="104">
        <f t="shared" si="437"/>
        <v>0.4599999999999973</v>
      </c>
      <c r="AAM10" s="103" t="s">
        <v>443</v>
      </c>
      <c r="AAN10" s="105">
        <v>8.0299999999999994</v>
      </c>
      <c r="AAO10" s="90">
        <f t="shared" si="438"/>
        <v>9.02</v>
      </c>
      <c r="AAP10" s="90">
        <v>4.21</v>
      </c>
      <c r="AAQ10" s="90">
        <f t="shared" si="439"/>
        <v>4.18</v>
      </c>
      <c r="AAR10" s="90">
        <v>0.64</v>
      </c>
      <c r="AAS10" s="90">
        <f t="shared" si="440"/>
        <v>0.96</v>
      </c>
      <c r="AAT10" s="90">
        <f t="shared" si="441"/>
        <v>150</v>
      </c>
      <c r="AAU10" s="90">
        <v>3.18</v>
      </c>
      <c r="AAV10" s="90">
        <f t="shared" si="442"/>
        <v>3.42</v>
      </c>
      <c r="AAW10" s="90">
        <f t="shared" si="443"/>
        <v>107.54716981132076</v>
      </c>
      <c r="AAX10" s="90">
        <f t="shared" si="444"/>
        <v>0.46</v>
      </c>
      <c r="AAY10" s="90">
        <f t="shared" si="445"/>
        <v>0</v>
      </c>
      <c r="AAZ10" s="90">
        <f t="shared" si="446"/>
        <v>0</v>
      </c>
      <c r="ABA10" s="90">
        <f t="shared" si="447"/>
        <v>0</v>
      </c>
      <c r="ABB10" s="90">
        <f t="shared" si="448"/>
        <v>0</v>
      </c>
      <c r="ABC10" s="90">
        <v>0</v>
      </c>
      <c r="ABD10" s="90">
        <f t="shared" si="449"/>
        <v>0</v>
      </c>
      <c r="ABE10" s="90"/>
      <c r="ABF10" s="90">
        <v>0</v>
      </c>
      <c r="ABG10" s="90">
        <f t="shared" si="450"/>
        <v>0</v>
      </c>
      <c r="ABH10" s="90"/>
      <c r="ABI10" s="90">
        <f t="shared" si="451"/>
        <v>0</v>
      </c>
      <c r="ABJ10" s="90">
        <f t="shared" si="452"/>
        <v>0</v>
      </c>
      <c r="ABK10" s="90">
        <v>0</v>
      </c>
      <c r="ABL10" s="90">
        <f t="shared" si="453"/>
        <v>0</v>
      </c>
      <c r="ABM10" s="90">
        <f t="shared" si="454"/>
        <v>0</v>
      </c>
      <c r="ABN10" s="90">
        <f t="shared" si="455"/>
        <v>0.02</v>
      </c>
      <c r="ABO10" s="90">
        <v>3.91</v>
      </c>
      <c r="ABP10" s="90">
        <f t="shared" si="456"/>
        <v>4.1100000000000003</v>
      </c>
      <c r="ABQ10" s="90">
        <f t="shared" si="457"/>
        <v>105.1150895140665</v>
      </c>
      <c r="ABR10" s="90">
        <f t="shared" si="458"/>
        <v>7.64</v>
      </c>
      <c r="ABS10" s="90">
        <f t="shared" si="459"/>
        <v>6.57</v>
      </c>
      <c r="ABT10" s="90">
        <v>4.22</v>
      </c>
      <c r="ABU10" s="90">
        <f t="shared" si="460"/>
        <v>4.22</v>
      </c>
      <c r="ABV10" s="90">
        <f t="shared" si="461"/>
        <v>100</v>
      </c>
      <c r="ABW10" s="90">
        <f t="shared" si="462"/>
        <v>0</v>
      </c>
      <c r="ABX10" s="90">
        <f t="shared" si="463"/>
        <v>4.22</v>
      </c>
      <c r="ABY10" s="97">
        <v>227</v>
      </c>
      <c r="ABZ10" s="97">
        <v>230.38</v>
      </c>
      <c r="ACA10" s="90">
        <f t="shared" si="464"/>
        <v>0.52</v>
      </c>
      <c r="ACB10" s="90">
        <f t="shared" si="465"/>
        <v>0.18</v>
      </c>
      <c r="ACC10" s="90">
        <v>0.11989898989898991</v>
      </c>
      <c r="ACD10" s="90">
        <f t="shared" si="466"/>
        <v>0.17589999999999997</v>
      </c>
      <c r="ACE10" s="90">
        <v>0.38175323599898991</v>
      </c>
      <c r="ACF10" s="90">
        <v>0.65</v>
      </c>
      <c r="ACG10" s="90">
        <f t="shared" si="467"/>
        <v>0.7</v>
      </c>
      <c r="ACH10" s="90">
        <f t="shared" si="468"/>
        <v>107.69230769230769</v>
      </c>
      <c r="ACI10" s="90">
        <f t="shared" si="469"/>
        <v>18.049999999999997</v>
      </c>
      <c r="ACJ10" s="90">
        <f t="shared" si="470"/>
        <v>17.589999999999996</v>
      </c>
      <c r="ACK10" s="90">
        <f t="shared" si="471"/>
        <v>-0.46000000000000085</v>
      </c>
      <c r="ACL10" s="90"/>
      <c r="ACM10" s="90">
        <f t="shared" si="472"/>
        <v>18.049999999999997</v>
      </c>
      <c r="ACN10" s="90">
        <f t="shared" si="473"/>
        <v>0</v>
      </c>
      <c r="ACO10" s="90">
        <f t="shared" si="474"/>
        <v>18.049999999999997</v>
      </c>
      <c r="ACP10" s="90">
        <v>16.809999999999999</v>
      </c>
      <c r="ACQ10" s="90">
        <f t="shared" si="475"/>
        <v>107.37656157049375</v>
      </c>
      <c r="ACR10" s="90">
        <f t="shared" si="476"/>
        <v>0</v>
      </c>
      <c r="ACS10" s="90">
        <v>0</v>
      </c>
      <c r="ACT10" s="90"/>
      <c r="ACU10" s="90">
        <f t="shared" si="477"/>
        <v>17.667309999999997</v>
      </c>
      <c r="ACV10" s="90">
        <f t="shared" si="478"/>
        <v>-0.3826900000000002</v>
      </c>
      <c r="ACX10" s="106" t="s">
        <v>444</v>
      </c>
      <c r="ACY10" s="107"/>
      <c r="ACZ10" s="107">
        <v>80000</v>
      </c>
      <c r="ADB10" s="90">
        <f t="shared" si="479"/>
        <v>4.1100000000000003</v>
      </c>
      <c r="ADC10" s="90">
        <f t="shared" si="480"/>
        <v>9.02</v>
      </c>
      <c r="ADD10" s="90">
        <f t="shared" si="481"/>
        <v>4.18</v>
      </c>
      <c r="ADE10" s="90">
        <f t="shared" si="482"/>
        <v>1.42</v>
      </c>
      <c r="ADF10" s="90">
        <f t="shared" si="483"/>
        <v>0.96</v>
      </c>
      <c r="ADG10" s="90">
        <f t="shared" si="484"/>
        <v>0.46</v>
      </c>
      <c r="ADH10" s="90">
        <f t="shared" si="484"/>
        <v>0</v>
      </c>
      <c r="ADI10" s="90">
        <f t="shared" si="484"/>
        <v>0</v>
      </c>
      <c r="ADJ10" s="90">
        <f t="shared" si="485"/>
        <v>3.42</v>
      </c>
      <c r="ADK10" s="90">
        <f t="shared" si="486"/>
        <v>0</v>
      </c>
      <c r="ADL10" s="90">
        <f t="shared" si="487"/>
        <v>0</v>
      </c>
      <c r="ADM10" s="90">
        <f t="shared" si="488"/>
        <v>0</v>
      </c>
      <c r="ADN10" s="90">
        <f t="shared" si="488"/>
        <v>0</v>
      </c>
      <c r="ADO10" s="90">
        <f t="shared" si="489"/>
        <v>3.42</v>
      </c>
      <c r="ADP10" s="90">
        <f t="shared" si="490"/>
        <v>4.22</v>
      </c>
      <c r="ADQ10" s="90">
        <f t="shared" si="491"/>
        <v>0.7</v>
      </c>
      <c r="ADR10" s="90">
        <f t="shared" si="492"/>
        <v>18.049999999999997</v>
      </c>
      <c r="ADU10" s="90">
        <f t="shared" si="493"/>
        <v>1.1499999999999999</v>
      </c>
      <c r="ADV10" s="90">
        <f t="shared" si="494"/>
        <v>0.96</v>
      </c>
      <c r="ADW10" s="90">
        <f t="shared" si="495"/>
        <v>3.42</v>
      </c>
      <c r="ADX10" s="90">
        <f t="shared" si="496"/>
        <v>4.1100000000000003</v>
      </c>
      <c r="ADY10" s="90">
        <f t="shared" si="497"/>
        <v>7.95</v>
      </c>
      <c r="ADZ10" s="90">
        <f t="shared" si="498"/>
        <v>0</v>
      </c>
      <c r="AEA10" s="90">
        <f t="shared" si="499"/>
        <v>18.049999999999997</v>
      </c>
      <c r="AEB10" s="90">
        <f t="shared" si="500"/>
        <v>0</v>
      </c>
      <c r="AEC10" s="104">
        <f t="shared" si="501"/>
        <v>17.59</v>
      </c>
      <c r="AED10" s="104">
        <f t="shared" si="502"/>
        <v>0.4599999999999973</v>
      </c>
      <c r="AEG10" s="1">
        <v>8.0299999999999994</v>
      </c>
      <c r="AEH10" s="1">
        <v>4.21</v>
      </c>
      <c r="AEI10" s="1">
        <v>0.64</v>
      </c>
      <c r="AEJ10" s="1">
        <v>3.18</v>
      </c>
      <c r="AEK10" s="1">
        <v>0</v>
      </c>
      <c r="AEL10" s="1">
        <v>0</v>
      </c>
      <c r="AEM10" s="1">
        <v>0</v>
      </c>
      <c r="AEN10" s="1">
        <v>0</v>
      </c>
      <c r="AEO10" s="1">
        <v>0</v>
      </c>
      <c r="AEP10" s="1">
        <v>0</v>
      </c>
      <c r="AEQ10" s="1">
        <v>0</v>
      </c>
      <c r="AER10" s="1">
        <v>0</v>
      </c>
      <c r="AES10" s="1">
        <v>0</v>
      </c>
      <c r="AET10" s="1">
        <v>0</v>
      </c>
      <c r="AEU10" s="1">
        <v>0</v>
      </c>
      <c r="AEV10" s="1">
        <v>0.02</v>
      </c>
      <c r="AEW10" s="1">
        <v>3.91</v>
      </c>
      <c r="AEX10" s="1">
        <v>7.4</v>
      </c>
      <c r="AEY10" s="1">
        <v>6.57</v>
      </c>
      <c r="AEZ10" s="1">
        <v>4.22</v>
      </c>
      <c r="AFA10" s="1">
        <v>0</v>
      </c>
      <c r="AFB10" s="1">
        <v>4.22</v>
      </c>
      <c r="AFC10" s="1">
        <v>227</v>
      </c>
      <c r="AFD10" s="1">
        <v>230.38</v>
      </c>
      <c r="AFE10" s="1">
        <v>0.48</v>
      </c>
      <c r="AFF10" s="1">
        <v>0.17</v>
      </c>
      <c r="AFG10" s="1">
        <v>0.11989898989898991</v>
      </c>
      <c r="AFH10" s="1">
        <v>0.1681</v>
      </c>
      <c r="AFI10" s="1">
        <v>0.38175323599898991</v>
      </c>
      <c r="AFJ10" s="1">
        <v>0.65</v>
      </c>
      <c r="AFK10" s="1">
        <v>16.809999999999999</v>
      </c>
      <c r="AFL10" s="1">
        <v>16.809999999999999</v>
      </c>
      <c r="AFM10" s="1">
        <v>0</v>
      </c>
      <c r="AFO10" s="1">
        <v>16.809999999999999</v>
      </c>
      <c r="AFP10" s="1">
        <v>0</v>
      </c>
      <c r="AFQ10" s="1">
        <v>16.809999999999999</v>
      </c>
      <c r="AFX10" s="1">
        <v>18.8</v>
      </c>
    </row>
    <row r="11" spans="1:856" s="1" customFormat="1" ht="63.75" customHeight="1">
      <c r="A11" s="88">
        <v>3</v>
      </c>
      <c r="B11" s="20"/>
      <c r="C11" s="89" t="s">
        <v>445</v>
      </c>
      <c r="D11" s="20"/>
      <c r="E11" s="20" t="s">
        <v>437</v>
      </c>
      <c r="F11" s="20" t="s">
        <v>438</v>
      </c>
      <c r="G11" s="20">
        <v>0.8</v>
      </c>
      <c r="H11" s="20">
        <v>539.20000000000005</v>
      </c>
      <c r="I11" s="20">
        <f>539.2+119.2-0.6-0.5</f>
        <v>657.30000000000007</v>
      </c>
      <c r="J11" s="20">
        <f t="shared" si="0"/>
        <v>525.84</v>
      </c>
      <c r="K11" s="20">
        <v>16</v>
      </c>
      <c r="L11" s="20"/>
      <c r="M11" s="20"/>
      <c r="N11" s="20"/>
      <c r="O11" s="90">
        <f t="shared" si="1"/>
        <v>0</v>
      </c>
      <c r="P11" s="20"/>
      <c r="Q11" s="20"/>
      <c r="R11" s="90">
        <f t="shared" si="2"/>
        <v>0</v>
      </c>
      <c r="S11" s="20">
        <v>51.2</v>
      </c>
      <c r="T11" s="20">
        <v>2.6</v>
      </c>
      <c r="U11" s="20">
        <v>3.13</v>
      </c>
      <c r="V11" s="91">
        <f t="shared" si="3"/>
        <v>416.67</v>
      </c>
      <c r="W11" s="20">
        <v>2.1000000000000001E-2</v>
      </c>
      <c r="X11" s="20">
        <f t="shared" si="4"/>
        <v>33.42</v>
      </c>
      <c r="Y11" s="91">
        <f t="shared" si="5"/>
        <v>35.93</v>
      </c>
      <c r="Z11" s="20"/>
      <c r="AA11" s="20"/>
      <c r="AB11" s="20"/>
      <c r="AC11" s="91">
        <f t="shared" si="6"/>
        <v>452.6</v>
      </c>
      <c r="AD11" s="90">
        <f t="shared" si="7"/>
        <v>0.69</v>
      </c>
      <c r="AE11" s="92">
        <f t="shared" si="8"/>
        <v>5431.2000000000007</v>
      </c>
      <c r="AF11" s="20">
        <v>47</v>
      </c>
      <c r="AG11" s="20">
        <v>46</v>
      </c>
      <c r="AH11" s="20">
        <v>46</v>
      </c>
      <c r="AI11" s="20">
        <f>2+4+37</f>
        <v>43</v>
      </c>
      <c r="AJ11" s="20">
        <v>1.6</v>
      </c>
      <c r="AK11" s="90">
        <f t="shared" si="9"/>
        <v>6.13</v>
      </c>
      <c r="AL11" s="90">
        <v>391.01</v>
      </c>
      <c r="AM11" s="90">
        <f t="shared" si="10"/>
        <v>2396.89</v>
      </c>
      <c r="AN11" s="20">
        <v>47</v>
      </c>
      <c r="AO11" s="20">
        <v>46</v>
      </c>
      <c r="AP11" s="20">
        <v>47</v>
      </c>
      <c r="AQ11" s="20">
        <v>47</v>
      </c>
      <c r="AR11" s="20">
        <v>46</v>
      </c>
      <c r="AS11" s="20">
        <f>2+5+39</f>
        <v>46</v>
      </c>
      <c r="AT11" s="20">
        <f t="shared" si="11"/>
        <v>1</v>
      </c>
      <c r="AU11" s="20">
        <v>1.6</v>
      </c>
      <c r="AV11" s="90">
        <f t="shared" si="12"/>
        <v>6.27</v>
      </c>
      <c r="AW11" s="90">
        <f t="shared" si="13"/>
        <v>180.78</v>
      </c>
      <c r="AX11" s="90">
        <v>1108.78</v>
      </c>
      <c r="AY11" s="90">
        <f t="shared" si="14"/>
        <v>1.69</v>
      </c>
      <c r="AZ11" s="90">
        <f t="shared" si="15"/>
        <v>2450.33</v>
      </c>
      <c r="BA11" s="90">
        <f t="shared" si="16"/>
        <v>-1341.55</v>
      </c>
      <c r="BB11" s="90">
        <v>1108.78</v>
      </c>
      <c r="BC11" s="90">
        <v>1.68</v>
      </c>
      <c r="BD11" s="92">
        <f t="shared" si="17"/>
        <v>13305.36</v>
      </c>
      <c r="BE11" s="90"/>
      <c r="BF11" s="90">
        <f t="shared" si="18"/>
        <v>0</v>
      </c>
      <c r="BG11" s="90">
        <v>391.01</v>
      </c>
      <c r="BH11" s="90">
        <f t="shared" si="19"/>
        <v>2451.63</v>
      </c>
      <c r="BI11" s="90">
        <f t="shared" si="20"/>
        <v>3.73</v>
      </c>
      <c r="BJ11" s="90">
        <f t="shared" si="21"/>
        <v>220.71005917159763</v>
      </c>
      <c r="BK11" s="90">
        <f t="shared" si="22"/>
        <v>2451.63</v>
      </c>
      <c r="BL11" s="90">
        <f t="shared" si="23"/>
        <v>3.73</v>
      </c>
      <c r="BM11" s="90"/>
      <c r="BN11" s="90">
        <f t="shared" si="24"/>
        <v>0</v>
      </c>
      <c r="BO11" s="90">
        <f t="shared" si="25"/>
        <v>2451.63</v>
      </c>
      <c r="BP11" s="90">
        <f t="shared" si="26"/>
        <v>3.729849383842994</v>
      </c>
      <c r="BQ11" s="90"/>
      <c r="BR11" s="90">
        <f t="shared" si="27"/>
        <v>0</v>
      </c>
      <c r="BS11" s="90">
        <f t="shared" si="28"/>
        <v>2451.63</v>
      </c>
      <c r="BT11" s="90">
        <f t="shared" si="29"/>
        <v>3.729849383842994</v>
      </c>
      <c r="BU11" s="90"/>
      <c r="BV11" s="93">
        <v>0.82054400000000005</v>
      </c>
      <c r="BW11" s="90">
        <f t="shared" si="30"/>
        <v>539.34357120000004</v>
      </c>
      <c r="BX11" s="90">
        <f t="shared" si="31"/>
        <v>571.70418547200006</v>
      </c>
      <c r="BY11" s="90"/>
      <c r="BZ11" s="90"/>
      <c r="CA11" s="90">
        <v>0.26506960000000002</v>
      </c>
      <c r="CB11" s="90">
        <f t="shared" si="32"/>
        <v>174.23024808000002</v>
      </c>
      <c r="CC11" s="90">
        <v>0.71072749999999996</v>
      </c>
      <c r="CD11" s="90">
        <f t="shared" si="33"/>
        <v>123.83022864227821</v>
      </c>
      <c r="CE11" s="90">
        <f t="shared" si="34"/>
        <v>187.24687696378524</v>
      </c>
      <c r="CF11" s="90">
        <f>I11*0.278104229</f>
        <v>182.79790972169999</v>
      </c>
      <c r="CG11" s="90">
        <f>I11*0.278104229</f>
        <v>182.79790972169999</v>
      </c>
      <c r="CH11" s="90">
        <f t="shared" si="35"/>
        <v>191.57</v>
      </c>
      <c r="CI11" s="90">
        <f>I11*0.305872102</f>
        <v>201.0497326446</v>
      </c>
      <c r="CJ11" s="90">
        <f t="shared" si="36"/>
        <v>202.11</v>
      </c>
      <c r="CK11" s="90">
        <f t="shared" si="37"/>
        <v>213.74641681275517</v>
      </c>
      <c r="CL11" s="90">
        <f t="shared" si="38"/>
        <v>213.74641681275517</v>
      </c>
      <c r="CM11" s="94">
        <v>0.14899999999999999</v>
      </c>
      <c r="CN11" s="90">
        <f t="shared" si="39"/>
        <v>80.362192108800002</v>
      </c>
      <c r="CO11" s="90">
        <f t="shared" si="40"/>
        <v>85.183923635328</v>
      </c>
      <c r="CP11" s="90"/>
      <c r="CQ11" s="90">
        <v>3.9538999999999998E-2</v>
      </c>
      <c r="CR11" s="90">
        <f t="shared" si="41"/>
        <v>25.9889847</v>
      </c>
      <c r="CS11" s="90">
        <v>0.71072749999999996</v>
      </c>
      <c r="CT11" s="90">
        <f t="shared" si="42"/>
        <v>18.471086123369247</v>
      </c>
      <c r="CU11" s="90">
        <f t="shared" si="43"/>
        <v>27.930604898755281</v>
      </c>
      <c r="CV11" s="90">
        <f>I11*0.085944411</f>
        <v>56.491261350300007</v>
      </c>
      <c r="CW11" s="90">
        <f t="shared" si="44"/>
        <v>59.2</v>
      </c>
      <c r="CX11" s="90">
        <f>I11*0.094524027</f>
        <v>62.130642947100007</v>
      </c>
      <c r="CY11" s="90">
        <f t="shared" si="45"/>
        <v>62.46</v>
      </c>
      <c r="CZ11" s="90">
        <f t="shared" si="46"/>
        <v>66.054314668953126</v>
      </c>
      <c r="DA11" s="90">
        <f t="shared" si="47"/>
        <v>66.054314668953126</v>
      </c>
      <c r="DB11" s="93">
        <v>0.80940000000000001</v>
      </c>
      <c r="DC11" s="90">
        <f t="shared" si="48"/>
        <v>532.01862000000006</v>
      </c>
      <c r="DD11" s="90">
        <f t="shared" si="49"/>
        <v>563.93973720000008</v>
      </c>
      <c r="DE11" s="90"/>
      <c r="DF11" s="90"/>
      <c r="DG11" s="90">
        <v>0.16261500000000001</v>
      </c>
      <c r="DH11" s="90">
        <f t="shared" si="50"/>
        <v>106.88683950000002</v>
      </c>
      <c r="DI11" s="90">
        <v>0.71072749999999996</v>
      </c>
      <c r="DJ11" s="90">
        <f t="shared" si="51"/>
        <v>75.967416220736254</v>
      </c>
      <c r="DK11" s="90">
        <f t="shared" si="52"/>
        <v>114.87228598626902</v>
      </c>
      <c r="DL11" s="90">
        <f>I11*0.138254139</f>
        <v>90.874445564700011</v>
      </c>
      <c r="DM11" s="90">
        <f t="shared" si="53"/>
        <v>95.24</v>
      </c>
      <c r="DN11" s="90">
        <f>I11*0.152067322</f>
        <v>99.953850750600012</v>
      </c>
      <c r="DO11" s="90">
        <f t="shared" si="54"/>
        <v>100.48</v>
      </c>
      <c r="DP11" s="90">
        <f t="shared" si="55"/>
        <v>106.26613208357085</v>
      </c>
      <c r="DQ11" s="90">
        <f t="shared" si="56"/>
        <v>106.26613208357085</v>
      </c>
      <c r="DR11" s="93">
        <v>3.1841000000000001E-2</v>
      </c>
      <c r="DS11" s="90">
        <f t="shared" si="57"/>
        <v>20.929089300000005</v>
      </c>
      <c r="DT11" s="90">
        <f t="shared" si="58"/>
        <v>22.184834658000007</v>
      </c>
      <c r="DU11" s="90"/>
      <c r="DV11" s="90">
        <v>6.1506E-3</v>
      </c>
      <c r="DW11" s="90">
        <f t="shared" si="59"/>
        <v>4.0427893800000003</v>
      </c>
      <c r="DX11" s="90">
        <v>0.71072749999999996</v>
      </c>
      <c r="DY11" s="90">
        <f t="shared" si="60"/>
        <v>2.8733215890739499</v>
      </c>
      <c r="DZ11" s="90">
        <f t="shared" si="61"/>
        <v>4.3448235537136561</v>
      </c>
      <c r="EA11" s="90">
        <f t="shared" si="62"/>
        <v>4.55</v>
      </c>
      <c r="EB11" s="90">
        <f>I11*0.007268627</f>
        <v>4.7776685271000003</v>
      </c>
      <c r="EC11" s="90">
        <f t="shared" si="63"/>
        <v>4.8</v>
      </c>
      <c r="ED11" s="90">
        <f t="shared" si="64"/>
        <v>5.079387646796393</v>
      </c>
      <c r="EE11" s="90">
        <f t="shared" si="65"/>
        <v>5.079387646796393</v>
      </c>
      <c r="EF11" s="94">
        <v>0.85293354333000004</v>
      </c>
      <c r="EG11" s="90">
        <f t="shared" si="66"/>
        <v>448.50657442464723</v>
      </c>
      <c r="EH11" s="90">
        <f t="shared" si="67"/>
        <v>475.4169688901261</v>
      </c>
      <c r="EI11" s="90"/>
      <c r="EJ11" s="90">
        <v>0.58970610000000001</v>
      </c>
      <c r="EK11" s="90">
        <f t="shared" si="68"/>
        <v>310.09105562400003</v>
      </c>
      <c r="EL11" s="90">
        <v>0.71072749999999996</v>
      </c>
      <c r="EM11" s="90">
        <f t="shared" si="69"/>
        <v>220.39024073600646</v>
      </c>
      <c r="EN11" s="90">
        <f t="shared" si="70"/>
        <v>333.25775736332986</v>
      </c>
      <c r="EO11" s="90">
        <f>J11*0.618073579</f>
        <v>325.00781078136004</v>
      </c>
      <c r="EP11" s="90">
        <f t="shared" si="71"/>
        <v>340.61</v>
      </c>
      <c r="EQ11" s="90">
        <f>I11*0.543839927</f>
        <v>357.46598401710003</v>
      </c>
      <c r="ER11" s="90">
        <f t="shared" si="72"/>
        <v>359.34</v>
      </c>
      <c r="ES11" s="90">
        <f t="shared" si="73"/>
        <v>380.04066064174873</v>
      </c>
      <c r="ET11" s="90">
        <f t="shared" si="74"/>
        <v>380.04066064174873</v>
      </c>
      <c r="EU11" s="94">
        <v>0.14899999999999999</v>
      </c>
      <c r="EV11" s="90">
        <f t="shared" si="75"/>
        <v>66.827479589272428</v>
      </c>
      <c r="EW11" s="90">
        <f t="shared" si="76"/>
        <v>70.837128364628782</v>
      </c>
      <c r="EX11" s="90"/>
      <c r="EY11" s="90">
        <v>8.7874999999999995E-2</v>
      </c>
      <c r="EZ11" s="90">
        <f t="shared" si="77"/>
        <v>46.208190000000002</v>
      </c>
      <c r="FA11" s="90">
        <v>0.71072749999999996</v>
      </c>
      <c r="FB11" s="90">
        <f t="shared" si="78"/>
        <v>32.841431358225002</v>
      </c>
      <c r="FC11" s="90">
        <f t="shared" si="79"/>
        <v>49.660373918978649</v>
      </c>
      <c r="FD11" s="90">
        <f>J11*0.191143496</f>
        <v>100.51089593664</v>
      </c>
      <c r="FE11" s="90">
        <f t="shared" si="80"/>
        <v>105.34</v>
      </c>
      <c r="FF11" s="90">
        <f>I11*0.168182633</f>
        <v>110.54644467090002</v>
      </c>
      <c r="FG11" s="90">
        <f t="shared" si="81"/>
        <v>111.13</v>
      </c>
      <c r="FH11" s="90">
        <f t="shared" si="82"/>
        <v>117.52766904477166</v>
      </c>
      <c r="FI11" s="90">
        <f t="shared" si="83"/>
        <v>117.52766904477166</v>
      </c>
      <c r="FJ11" s="93">
        <v>0.49981642240000002</v>
      </c>
      <c r="FK11" s="90">
        <f t="shared" si="84"/>
        <v>262.82346755481603</v>
      </c>
      <c r="FL11" s="90">
        <f t="shared" si="85"/>
        <v>278.59287560810503</v>
      </c>
      <c r="FM11" s="90"/>
      <c r="FN11" s="90">
        <v>0.35816899099999999</v>
      </c>
      <c r="FO11" s="90">
        <f t="shared" si="86"/>
        <v>188.33958222744002</v>
      </c>
      <c r="FP11" s="90">
        <v>0.71072749999999996</v>
      </c>
      <c r="FQ11" s="90">
        <f t="shared" si="87"/>
        <v>133.85812042755288</v>
      </c>
      <c r="FR11" s="90">
        <f t="shared" si="88"/>
        <v>202.41031031855817</v>
      </c>
      <c r="FS11" s="90">
        <f>J11*0.303440293</f>
        <v>159.56104367112002</v>
      </c>
      <c r="FT11" s="90">
        <f t="shared" si="89"/>
        <v>167.22</v>
      </c>
      <c r="FU11" s="90">
        <f>J11*0.303696725</f>
        <v>159.695885874</v>
      </c>
      <c r="FV11" s="90">
        <f t="shared" si="90"/>
        <v>167.36</v>
      </c>
      <c r="FW11" s="90">
        <f>I11*0.267217672</f>
        <v>175.64217580560003</v>
      </c>
      <c r="FX11" s="90">
        <f t="shared" si="91"/>
        <v>176.56</v>
      </c>
      <c r="FY11" s="90">
        <f t="shared" si="92"/>
        <v>186.73432302448461</v>
      </c>
      <c r="FZ11" s="90">
        <f t="shared" si="93"/>
        <v>186.73432302448461</v>
      </c>
      <c r="GA11" s="94">
        <v>1.352261642E-2</v>
      </c>
      <c r="GB11" s="90">
        <f t="shared" si="94"/>
        <v>7.1107326182928006</v>
      </c>
      <c r="GC11" s="90">
        <f t="shared" si="95"/>
        <v>7.5373765753903692</v>
      </c>
      <c r="GD11" s="90"/>
      <c r="GE11" s="90">
        <v>1.0795000000000001E-2</v>
      </c>
      <c r="GF11" s="90">
        <f t="shared" si="96"/>
        <v>5.6764428000000011</v>
      </c>
      <c r="GG11" s="90">
        <v>0.71072749999999996</v>
      </c>
      <c r="GH11" s="90">
        <f t="shared" si="97"/>
        <v>4.034404000137001</v>
      </c>
      <c r="GI11" s="90">
        <f t="shared" si="98"/>
        <v>6.1005261616543347</v>
      </c>
      <c r="GJ11" s="90">
        <f t="shared" si="99"/>
        <v>6.39</v>
      </c>
      <c r="GK11" s="90">
        <f>I11*0.010201581</f>
        <v>6.7054991913000004</v>
      </c>
      <c r="GL11" s="90">
        <f t="shared" si="100"/>
        <v>6.74</v>
      </c>
      <c r="GM11" s="90">
        <f t="shared" si="101"/>
        <v>7.1289645911384349</v>
      </c>
      <c r="GN11" s="90">
        <f t="shared" si="102"/>
        <v>7.1289645911384349</v>
      </c>
      <c r="GO11" s="90">
        <v>3198</v>
      </c>
      <c r="GP11" s="90">
        <f t="shared" si="103"/>
        <v>266.5</v>
      </c>
      <c r="GQ11" s="90">
        <f>2116.8+138.6</f>
        <v>2255.4</v>
      </c>
      <c r="GR11" s="90">
        <f t="shared" si="104"/>
        <v>187.95000000000002</v>
      </c>
      <c r="GS11" s="90">
        <f t="shared" si="105"/>
        <v>454.45000000000005</v>
      </c>
      <c r="GT11" s="90">
        <f t="shared" si="106"/>
        <v>0.69</v>
      </c>
      <c r="GU11" s="90">
        <v>3196.07</v>
      </c>
      <c r="GV11" s="90">
        <f>1755.68+115.72</f>
        <v>1871.4</v>
      </c>
      <c r="GW11" s="90">
        <f t="shared" si="107"/>
        <v>422.28916666666669</v>
      </c>
      <c r="GX11" s="90">
        <f t="shared" si="108"/>
        <v>0.64</v>
      </c>
      <c r="GY11" s="90">
        <v>5671.82</v>
      </c>
      <c r="GZ11" s="90">
        <f>1867.36+123.7</f>
        <v>1991.06</v>
      </c>
      <c r="HA11" s="90">
        <f t="shared" si="109"/>
        <v>638.57333333333327</v>
      </c>
      <c r="HB11" s="90">
        <f t="shared" si="110"/>
        <v>0.97</v>
      </c>
      <c r="HC11" s="90">
        <v>5671.82</v>
      </c>
      <c r="HD11" s="90">
        <f>1867.36+123.7</f>
        <v>1991.06</v>
      </c>
      <c r="HE11" s="90">
        <f t="shared" si="111"/>
        <v>638.57333333333327</v>
      </c>
      <c r="HF11" s="90">
        <f t="shared" si="112"/>
        <v>0.97</v>
      </c>
      <c r="HG11" s="90"/>
      <c r="HH11" s="90"/>
      <c r="HI11" s="90">
        <v>0.96</v>
      </c>
      <c r="HJ11" s="90">
        <f t="shared" si="113"/>
        <v>631.00800000000004</v>
      </c>
      <c r="HK11" s="90">
        <f t="shared" si="114"/>
        <v>1.0060855012931689</v>
      </c>
      <c r="HL11" s="90">
        <f t="shared" si="115"/>
        <v>661.3</v>
      </c>
      <c r="HM11" s="90">
        <v>1.07</v>
      </c>
      <c r="HN11" s="90">
        <f t="shared" si="116"/>
        <v>703.31100000000015</v>
      </c>
      <c r="HO11" s="90">
        <v>1.1499999999999999</v>
      </c>
      <c r="HP11" s="90">
        <f t="shared" si="117"/>
        <v>755.9</v>
      </c>
      <c r="HQ11" s="90">
        <v>1.1499999999999999</v>
      </c>
      <c r="HR11" s="90">
        <f t="shared" si="118"/>
        <v>755.9</v>
      </c>
      <c r="HS11" s="90">
        <v>0.31922099999999998</v>
      </c>
      <c r="HT11" s="90">
        <f t="shared" si="119"/>
        <v>209.8239633</v>
      </c>
      <c r="HU11" s="90" t="e">
        <f>HT11*#REF!</f>
        <v>#REF!</v>
      </c>
      <c r="HV11" s="90">
        <v>2.83</v>
      </c>
      <c r="HW11" s="90">
        <v>3.1</v>
      </c>
      <c r="HX11" s="90">
        <f t="shared" si="120"/>
        <v>2037.6300000000003</v>
      </c>
      <c r="HY11" s="90">
        <v>1.06</v>
      </c>
      <c r="HZ11" s="90">
        <f t="shared" si="121"/>
        <v>2159.8878000000004</v>
      </c>
      <c r="IA11" s="90">
        <f t="shared" si="122"/>
        <v>3.29</v>
      </c>
      <c r="IB11" s="90">
        <f t="shared" si="123"/>
        <v>3.45</v>
      </c>
      <c r="IC11" s="90">
        <f t="shared" si="124"/>
        <v>2267.6850000000004</v>
      </c>
      <c r="ID11" s="90">
        <f t="shared" si="125"/>
        <v>3.64</v>
      </c>
      <c r="IE11" s="90">
        <f t="shared" si="126"/>
        <v>2392.5700000000002</v>
      </c>
      <c r="IF11" s="90">
        <f t="shared" si="127"/>
        <v>3.64</v>
      </c>
      <c r="IG11" s="92">
        <f t="shared" si="128"/>
        <v>28710.840000000004</v>
      </c>
      <c r="IH11" s="90">
        <v>3.91</v>
      </c>
      <c r="II11" s="90">
        <f t="shared" si="129"/>
        <v>4.1100000000000003</v>
      </c>
      <c r="IJ11" s="90">
        <f t="shared" si="130"/>
        <v>2701.5</v>
      </c>
      <c r="IK11" s="90">
        <f t="shared" si="131"/>
        <v>4.1100000000000003</v>
      </c>
      <c r="IL11" s="90">
        <f t="shared" si="132"/>
        <v>2701.5</v>
      </c>
      <c r="IM11" s="90">
        <f t="shared" si="133"/>
        <v>4.1100000000000003</v>
      </c>
      <c r="IN11" s="90">
        <f t="shared" si="134"/>
        <v>2701.5</v>
      </c>
      <c r="IO11" s="90">
        <f t="shared" si="135"/>
        <v>4.1100000000000003</v>
      </c>
      <c r="IP11" s="93">
        <v>0.37052404126999999</v>
      </c>
      <c r="IQ11" s="90">
        <f t="shared" si="136"/>
        <v>194.8363618614168</v>
      </c>
      <c r="IR11" s="90">
        <f t="shared" si="137"/>
        <v>206.52654357310183</v>
      </c>
      <c r="IS11" s="90">
        <v>108693.96</v>
      </c>
      <c r="IT11" s="90">
        <v>3053.33</v>
      </c>
      <c r="IU11" s="94"/>
      <c r="IV11" s="94"/>
      <c r="IW11" s="94">
        <v>1.697699125</v>
      </c>
      <c r="IX11" s="90">
        <f t="shared" si="138"/>
        <v>892.71810789000006</v>
      </c>
      <c r="IY11" s="93">
        <v>0.56339614052999998</v>
      </c>
      <c r="IZ11" s="90">
        <f t="shared" si="139"/>
        <v>370.32028317036901</v>
      </c>
      <c r="JA11" s="90">
        <f t="shared" si="140"/>
        <v>388.1</v>
      </c>
      <c r="JB11" s="90">
        <f>I11*0.619666369</f>
        <v>407.30670434370006</v>
      </c>
      <c r="JC11" s="90">
        <f t="shared" si="141"/>
        <v>409.45</v>
      </c>
      <c r="JD11" s="90">
        <f t="shared" si="142"/>
        <v>433.0289200193896</v>
      </c>
      <c r="JE11" s="90">
        <f t="shared" si="143"/>
        <v>433.0289200193896</v>
      </c>
      <c r="JF11" s="93">
        <v>4.2278943710000003E-2</v>
      </c>
      <c r="JG11" s="90">
        <f t="shared" si="144"/>
        <v>22.231959760466403</v>
      </c>
      <c r="JH11" s="90">
        <f t="shared" si="145"/>
        <v>23.565877346094389</v>
      </c>
      <c r="JI11" s="20">
        <v>462.98</v>
      </c>
      <c r="JJ11" s="20"/>
      <c r="JK11" s="20">
        <v>6.0564350000000003E-2</v>
      </c>
      <c r="JL11" s="90">
        <f t="shared" si="146"/>
        <v>31.847157804000002</v>
      </c>
      <c r="JM11" s="93">
        <v>6.7347080040000007E-2</v>
      </c>
      <c r="JN11" s="90">
        <f t="shared" si="147"/>
        <v>44.267235710292006</v>
      </c>
      <c r="JO11" s="90">
        <f t="shared" si="148"/>
        <v>46.39</v>
      </c>
      <c r="JP11" s="90">
        <f>I11*0.074073045</f>
        <v>48.688212478500006</v>
      </c>
      <c r="JQ11" s="90">
        <f t="shared" si="149"/>
        <v>48.94</v>
      </c>
      <c r="JR11" s="90">
        <f t="shared" si="150"/>
        <v>51.762968402917544</v>
      </c>
      <c r="JS11" s="90">
        <f t="shared" si="151"/>
        <v>51.762968402917544</v>
      </c>
      <c r="JT11" s="93">
        <v>7.3220517000000002E-3</v>
      </c>
      <c r="JU11" s="90">
        <f t="shared" si="152"/>
        <v>3.8502276659280001</v>
      </c>
      <c r="JV11" s="90">
        <f t="shared" si="153"/>
        <v>4.04</v>
      </c>
      <c r="JW11" s="90">
        <f>I11*0.006439748</f>
        <v>4.2328463604000008</v>
      </c>
      <c r="JX11" s="90">
        <f t="shared" si="154"/>
        <v>4.26</v>
      </c>
      <c r="JY11" s="90">
        <f t="shared" si="155"/>
        <v>4.5001588937885764</v>
      </c>
      <c r="JZ11" s="90">
        <f t="shared" si="156"/>
        <v>4.5001588937885764</v>
      </c>
      <c r="KA11" s="90">
        <v>8.3091099999999998E-3</v>
      </c>
      <c r="KB11" s="90">
        <f t="shared" si="157"/>
        <v>4.3692624024000004</v>
      </c>
      <c r="KC11" s="90" t="e">
        <f>KB11*#REF!</f>
        <v>#REF!</v>
      </c>
      <c r="KD11" s="90">
        <v>34406.519999999997</v>
      </c>
      <c r="KE11" s="90">
        <v>40292.97</v>
      </c>
      <c r="KF11" s="90"/>
      <c r="KG11" s="90">
        <f t="shared" si="158"/>
        <v>769.75437158422324</v>
      </c>
      <c r="KH11" s="90" t="e">
        <f>KG11/(BW11+#REF!)*(CB11+#REF!)</f>
        <v>#REF!</v>
      </c>
      <c r="KI11" s="90">
        <v>0.8</v>
      </c>
      <c r="KJ11" s="94"/>
      <c r="KK11" s="90">
        <f t="shared" si="159"/>
        <v>0</v>
      </c>
      <c r="KL11" s="93">
        <v>1.1147001000000001</v>
      </c>
      <c r="KM11" s="90">
        <f t="shared" si="160"/>
        <v>732.69237573000009</v>
      </c>
      <c r="KN11" s="90">
        <f t="shared" si="161"/>
        <v>776.65391827380017</v>
      </c>
      <c r="KO11" s="90" t="e">
        <f>BW11+CN11+DC11+DS11+EG11+EV11+FK11+GB11+#REF!+#REF!+HJ11+HX11+IQ11+JG11+JU11+KK11+KM11</f>
        <v>#REF!</v>
      </c>
      <c r="KP11" s="90"/>
      <c r="KQ11" s="90">
        <v>0.50814739200000003</v>
      </c>
      <c r="KR11" s="90">
        <f t="shared" si="162"/>
        <v>334.00528076160003</v>
      </c>
      <c r="KS11" s="90">
        <v>0.71072749999999996</v>
      </c>
      <c r="KT11" s="90">
        <f t="shared" si="163"/>
        <v>237.38673818249006</v>
      </c>
      <c r="KU11" s="90">
        <f t="shared" si="164"/>
        <v>358.95859875780678</v>
      </c>
      <c r="KV11" s="90">
        <f t="shared" si="165"/>
        <v>376.19</v>
      </c>
      <c r="KW11" s="90">
        <f>I11*0.600649984</f>
        <v>394.80723448320003</v>
      </c>
      <c r="KX11" s="90">
        <f t="shared" si="166"/>
        <v>396.88</v>
      </c>
      <c r="KY11" s="90">
        <f t="shared" si="167"/>
        <v>419.74008416968587</v>
      </c>
      <c r="KZ11" s="90">
        <f t="shared" si="168"/>
        <v>419.74008416968587</v>
      </c>
      <c r="LA11" s="90">
        <f t="shared" si="169"/>
        <v>2576.6179962200999</v>
      </c>
      <c r="LB11" s="90">
        <f t="shared" si="170"/>
        <v>3.92</v>
      </c>
      <c r="LC11" s="92">
        <f t="shared" si="171"/>
        <v>30919.415954641197</v>
      </c>
      <c r="LD11" s="92">
        <v>4.21</v>
      </c>
      <c r="LE11" s="92">
        <v>2767.2300000000005</v>
      </c>
      <c r="LF11" s="90">
        <f t="shared" si="172"/>
        <v>4.18</v>
      </c>
      <c r="LG11" s="90">
        <f t="shared" si="173"/>
        <v>2747.51</v>
      </c>
      <c r="LH11" s="90">
        <f t="shared" si="174"/>
        <v>2769.8643459366072</v>
      </c>
      <c r="LI11" s="90">
        <f t="shared" si="175"/>
        <v>4.21</v>
      </c>
      <c r="LJ11" s="90">
        <f t="shared" si="176"/>
        <v>2747.51</v>
      </c>
      <c r="LK11" s="90">
        <f t="shared" si="177"/>
        <v>4.18</v>
      </c>
      <c r="LL11" s="90">
        <f t="shared" si="178"/>
        <v>2747.51</v>
      </c>
      <c r="LM11" s="90">
        <f t="shared" si="179"/>
        <v>4.18</v>
      </c>
      <c r="LN11" s="95">
        <v>0.46</v>
      </c>
      <c r="LO11" s="95">
        <f t="shared" si="180"/>
        <v>302.36</v>
      </c>
      <c r="LP11" s="95"/>
      <c r="LQ11" s="95">
        <f t="shared" si="181"/>
        <v>0</v>
      </c>
      <c r="LR11" s="90"/>
      <c r="LS11" s="90"/>
      <c r="LT11" s="90">
        <f t="shared" si="182"/>
        <v>0</v>
      </c>
      <c r="LU11" s="90"/>
      <c r="LV11" s="90">
        <f t="shared" si="183"/>
        <v>0</v>
      </c>
      <c r="LW11" s="90">
        <f t="shared" si="184"/>
        <v>0</v>
      </c>
      <c r="LX11" s="90"/>
      <c r="LY11" s="90"/>
      <c r="LZ11" s="90">
        <f t="shared" si="185"/>
        <v>0</v>
      </c>
      <c r="MA11" s="90"/>
      <c r="MB11" s="90">
        <f t="shared" si="186"/>
        <v>0</v>
      </c>
      <c r="MC11" s="90">
        <f t="shared" si="187"/>
        <v>0</v>
      </c>
      <c r="MD11" s="90"/>
      <c r="ME11" s="90"/>
      <c r="MF11" s="90">
        <f t="shared" si="188"/>
        <v>0</v>
      </c>
      <c r="MG11" s="90"/>
      <c r="MH11" s="90">
        <f t="shared" si="189"/>
        <v>0</v>
      </c>
      <c r="MI11" s="90">
        <f t="shared" si="190"/>
        <v>0</v>
      </c>
      <c r="MJ11" s="90"/>
      <c r="MK11" s="90"/>
      <c r="ML11" s="90">
        <f t="shared" si="191"/>
        <v>0</v>
      </c>
      <c r="MM11" s="90"/>
      <c r="MN11" s="90">
        <f t="shared" si="192"/>
        <v>0</v>
      </c>
      <c r="MO11" s="90">
        <f t="shared" si="193"/>
        <v>0</v>
      </c>
      <c r="MP11" s="90">
        <f t="shared" si="194"/>
        <v>0</v>
      </c>
      <c r="MQ11" s="90">
        <f t="shared" si="195"/>
        <v>0</v>
      </c>
      <c r="MR11" s="90">
        <f t="shared" si="196"/>
        <v>0</v>
      </c>
      <c r="MS11" s="90">
        <f t="shared" si="197"/>
        <v>0</v>
      </c>
      <c r="MT11" s="95"/>
      <c r="MU11" s="95">
        <f t="shared" si="198"/>
        <v>0</v>
      </c>
      <c r="MV11" s="92">
        <f t="shared" si="199"/>
        <v>0</v>
      </c>
      <c r="MW11" s="95"/>
      <c r="MX11" s="95">
        <f t="shared" si="200"/>
        <v>0</v>
      </c>
      <c r="MY11" s="95"/>
      <c r="MZ11" s="95">
        <f t="shared" si="201"/>
        <v>0</v>
      </c>
      <c r="NA11" s="95"/>
      <c r="NB11" s="95">
        <f t="shared" si="202"/>
        <v>0</v>
      </c>
      <c r="NC11" s="92">
        <f t="shared" si="203"/>
        <v>0</v>
      </c>
      <c r="ND11" s="95"/>
      <c r="NE11" s="95">
        <f t="shared" si="204"/>
        <v>0</v>
      </c>
      <c r="NF11" s="95"/>
      <c r="NG11" s="95">
        <f t="shared" si="205"/>
        <v>0</v>
      </c>
      <c r="NH11" s="95"/>
      <c r="NI11" s="95"/>
      <c r="NJ11" s="95">
        <f t="shared" si="206"/>
        <v>0</v>
      </c>
      <c r="NK11" s="92">
        <f t="shared" si="207"/>
        <v>0</v>
      </c>
      <c r="NL11" s="95"/>
      <c r="NM11" s="95">
        <f t="shared" si="208"/>
        <v>0</v>
      </c>
      <c r="NN11" s="95"/>
      <c r="NO11" s="95">
        <f t="shared" si="209"/>
        <v>0</v>
      </c>
      <c r="NP11" s="95"/>
      <c r="NQ11" s="95">
        <f t="shared" si="210"/>
        <v>0</v>
      </c>
      <c r="NR11" s="92">
        <f t="shared" si="211"/>
        <v>0</v>
      </c>
      <c r="NS11" s="95"/>
      <c r="NT11" s="95">
        <f t="shared" si="212"/>
        <v>0</v>
      </c>
      <c r="NU11" s="95"/>
      <c r="NV11" s="95">
        <f t="shared" si="213"/>
        <v>0</v>
      </c>
      <c r="NW11" s="95"/>
      <c r="NX11" s="95">
        <f t="shared" si="214"/>
        <v>0</v>
      </c>
      <c r="NY11" s="92">
        <f t="shared" si="215"/>
        <v>0</v>
      </c>
      <c r="NZ11" s="95"/>
      <c r="OA11" s="95">
        <f t="shared" si="216"/>
        <v>0</v>
      </c>
      <c r="OB11" s="95"/>
      <c r="OC11" s="95">
        <f t="shared" si="217"/>
        <v>0</v>
      </c>
      <c r="OD11" s="90">
        <v>3214.2</v>
      </c>
      <c r="OE11" s="90">
        <f t="shared" si="218"/>
        <v>4.8899999999999997</v>
      </c>
      <c r="OF11" s="92">
        <f t="shared" si="219"/>
        <v>38570.399999999994</v>
      </c>
      <c r="OG11" s="96">
        <v>1108.78</v>
      </c>
      <c r="OH11" s="96">
        <v>1.68</v>
      </c>
      <c r="OI11" s="90">
        <v>4325.6899999999996</v>
      </c>
      <c r="OJ11" s="90">
        <f t="shared" si="220"/>
        <v>6.58</v>
      </c>
      <c r="OK11" s="90">
        <f t="shared" si="221"/>
        <v>4322.9799999999996</v>
      </c>
      <c r="OL11" s="90">
        <f t="shared" si="222"/>
        <v>6.58</v>
      </c>
      <c r="OM11" s="90">
        <f t="shared" si="223"/>
        <v>0</v>
      </c>
      <c r="ON11" s="90">
        <v>3219.58</v>
      </c>
      <c r="OO11" s="90">
        <f t="shared" si="224"/>
        <v>4.9000000000000004</v>
      </c>
      <c r="OP11" s="90">
        <v>3216.91</v>
      </c>
      <c r="OQ11" s="90">
        <v>4.8899999999999997</v>
      </c>
      <c r="OR11" s="90">
        <f t="shared" si="225"/>
        <v>1.0000000000000675E-2</v>
      </c>
      <c r="OS11" s="90">
        <f t="shared" si="226"/>
        <v>4.8900000000000006</v>
      </c>
      <c r="OT11" s="90">
        <v>3219.58</v>
      </c>
      <c r="OU11" s="90">
        <f t="shared" si="227"/>
        <v>4.9000000000000004</v>
      </c>
      <c r="OV11" s="97">
        <v>2556.9</v>
      </c>
      <c r="OW11" s="90">
        <f t="shared" si="228"/>
        <v>2556.9</v>
      </c>
      <c r="OX11" s="90">
        <f t="shared" si="229"/>
        <v>3.89</v>
      </c>
      <c r="OY11" s="90">
        <f>OU11-1-0.01</f>
        <v>3.8900000000000006</v>
      </c>
      <c r="OZ11" s="90"/>
      <c r="PA11" s="90"/>
      <c r="PB11" s="95">
        <f t="shared" si="230"/>
        <v>0</v>
      </c>
      <c r="PC11" s="92">
        <f t="shared" si="231"/>
        <v>0</v>
      </c>
      <c r="PD11" s="90"/>
      <c r="PE11" s="95">
        <f t="shared" si="232"/>
        <v>0</v>
      </c>
      <c r="PF11" s="90">
        <f t="shared" si="233"/>
        <v>9746.6179962200986</v>
      </c>
      <c r="PG11" s="90">
        <f t="shared" si="234"/>
        <v>14.83</v>
      </c>
      <c r="PH11" s="90">
        <f t="shared" si="235"/>
        <v>11398.473333333333</v>
      </c>
      <c r="PI11" s="90">
        <f t="shared" si="236"/>
        <v>17.34</v>
      </c>
      <c r="PJ11" s="90">
        <f t="shared" si="237"/>
        <v>11398.473333333333</v>
      </c>
      <c r="PK11" s="90">
        <f t="shared" si="238"/>
        <v>17.34</v>
      </c>
      <c r="PL11" s="90"/>
      <c r="PM11" s="90">
        <f t="shared" si="239"/>
        <v>292.39999999999998</v>
      </c>
      <c r="PN11" s="90">
        <f t="shared" si="240"/>
        <v>0.44</v>
      </c>
      <c r="PO11" s="92">
        <f t="shared" si="241"/>
        <v>3508.7999999999997</v>
      </c>
      <c r="PP11" s="90">
        <f t="shared" si="242"/>
        <v>341.95</v>
      </c>
      <c r="PQ11" s="90">
        <f t="shared" si="243"/>
        <v>0.52</v>
      </c>
      <c r="PR11" s="90">
        <f t="shared" si="244"/>
        <v>341.95</v>
      </c>
      <c r="PS11" s="90">
        <f t="shared" si="245"/>
        <v>0.52</v>
      </c>
      <c r="PT11" s="90">
        <f t="shared" si="246"/>
        <v>10039.017996220098</v>
      </c>
      <c r="PU11" s="90">
        <f t="shared" si="247"/>
        <v>15.27</v>
      </c>
      <c r="PV11" s="90">
        <f t="shared" si="248"/>
        <v>11740.423333333334</v>
      </c>
      <c r="PW11" s="90">
        <f t="shared" si="249"/>
        <v>17.86</v>
      </c>
      <c r="PX11" s="90">
        <f t="shared" si="250"/>
        <v>11740.423333333334</v>
      </c>
      <c r="PY11" s="90">
        <f t="shared" si="251"/>
        <v>17.86</v>
      </c>
      <c r="PZ11" s="90">
        <f t="shared" si="252"/>
        <v>101.4</v>
      </c>
      <c r="QA11" s="90">
        <f t="shared" si="253"/>
        <v>0.15</v>
      </c>
      <c r="QB11" s="92">
        <f t="shared" si="254"/>
        <v>1216.8000000000002</v>
      </c>
      <c r="QC11" s="90">
        <f t="shared" si="255"/>
        <v>118.59</v>
      </c>
      <c r="QD11" s="90">
        <f t="shared" si="256"/>
        <v>0.18</v>
      </c>
      <c r="QE11" s="90">
        <f t="shared" si="257"/>
        <v>118.59</v>
      </c>
      <c r="QF11" s="90">
        <f t="shared" si="258"/>
        <v>0.18</v>
      </c>
      <c r="QG11" s="90">
        <f t="shared" si="259"/>
        <v>10140.417996220098</v>
      </c>
      <c r="QH11" s="90">
        <f t="shared" si="260"/>
        <v>15.43</v>
      </c>
      <c r="QI11" s="92">
        <f t="shared" si="261"/>
        <v>121685.01595464117</v>
      </c>
      <c r="QJ11" s="90">
        <f t="shared" si="262"/>
        <v>410.23723448320004</v>
      </c>
      <c r="QK11" s="98">
        <f t="shared" si="263"/>
        <v>0.25169999999999998</v>
      </c>
      <c r="QL11" s="90">
        <f t="shared" si="264"/>
        <v>165.44241</v>
      </c>
      <c r="QM11" s="90">
        <f t="shared" si="265"/>
        <v>0.1128</v>
      </c>
      <c r="QN11" s="90">
        <f t="shared" si="266"/>
        <v>74.143440000000012</v>
      </c>
      <c r="QO11" s="90">
        <v>0.21869999999999998</v>
      </c>
      <c r="QP11" s="90">
        <v>0.14579999999999999</v>
      </c>
      <c r="QQ11" s="97">
        <f t="shared" si="267"/>
        <v>239.58584999999999</v>
      </c>
      <c r="QR11" s="97">
        <v>239.98680000000002</v>
      </c>
      <c r="QS11" s="97">
        <f t="shared" si="268"/>
        <v>-0.40095000000002301</v>
      </c>
      <c r="QT11" s="90"/>
      <c r="QU11" s="90">
        <f t="shared" si="269"/>
        <v>0.1128</v>
      </c>
      <c r="QV11" s="90">
        <f t="shared" si="270"/>
        <v>74.143440000000012</v>
      </c>
      <c r="QW11" s="90">
        <f t="shared" si="271"/>
        <v>239.58584999999999</v>
      </c>
      <c r="QX11" s="90">
        <f t="shared" si="272"/>
        <v>0.36449999999999994</v>
      </c>
      <c r="QY11" s="90"/>
      <c r="QZ11" s="90"/>
      <c r="RA11" s="90"/>
      <c r="RB11" s="90">
        <v>2450.36</v>
      </c>
      <c r="RC11" s="97">
        <f t="shared" si="273"/>
        <v>10140.417996220098</v>
      </c>
      <c r="RD11" s="97">
        <f t="shared" si="274"/>
        <v>15.43</v>
      </c>
      <c r="RE11" s="90">
        <f t="shared" si="275"/>
        <v>11859.013333333334</v>
      </c>
      <c r="RF11" s="90">
        <f t="shared" si="276"/>
        <v>18.04</v>
      </c>
      <c r="RG11" s="90">
        <f t="shared" si="277"/>
        <v>116.99092088197148</v>
      </c>
      <c r="RH11" s="90">
        <f t="shared" si="278"/>
        <v>11859.013333333334</v>
      </c>
      <c r="RI11" s="90">
        <f t="shared" si="279"/>
        <v>18.04</v>
      </c>
      <c r="RJ11" s="90">
        <v>17.740000000000002</v>
      </c>
      <c r="RK11" s="90">
        <v>0</v>
      </c>
      <c r="RL11" s="90">
        <f t="shared" si="280"/>
        <v>0.29999999999999716</v>
      </c>
      <c r="RM11" s="90">
        <f t="shared" si="281"/>
        <v>105.93071051086318</v>
      </c>
      <c r="RN11" s="90">
        <f t="shared" si="282"/>
        <v>6718.5179962201</v>
      </c>
      <c r="RO11" s="90"/>
      <c r="RP11" s="90"/>
      <c r="RQ11" s="99">
        <v>241</v>
      </c>
      <c r="RR11" s="90">
        <f t="shared" si="283"/>
        <v>6926.2179962200989</v>
      </c>
      <c r="RS11" s="90">
        <f t="shared" si="284"/>
        <v>10.537377143191994</v>
      </c>
      <c r="RT11" s="90">
        <v>11.28</v>
      </c>
      <c r="RU11" s="90">
        <f t="shared" si="285"/>
        <v>7414.3440000000001</v>
      </c>
      <c r="RV11" s="90">
        <f t="shared" si="286"/>
        <v>0.62412480523839953</v>
      </c>
      <c r="RW11" s="100">
        <v>10.43</v>
      </c>
      <c r="RX11" s="90">
        <f t="shared" si="287"/>
        <v>10.951499999999999</v>
      </c>
      <c r="RY11" s="90">
        <f t="shared" si="288"/>
        <v>7198.4209500000006</v>
      </c>
      <c r="RZ11" s="90">
        <f t="shared" si="289"/>
        <v>1899.0987338264583</v>
      </c>
      <c r="SA11" s="90">
        <f t="shared" si="290"/>
        <v>849.65298727986931</v>
      </c>
      <c r="SB11" s="90">
        <f t="shared" si="291"/>
        <v>1284.7821579228514</v>
      </c>
      <c r="SC11" s="90">
        <f t="shared" si="292"/>
        <v>2334.2279044694401</v>
      </c>
      <c r="SD11" s="90">
        <f t="shared" si="293"/>
        <v>2334.2279044694405</v>
      </c>
      <c r="SE11" s="90">
        <f t="shared" si="294"/>
        <v>2369.397604741464</v>
      </c>
      <c r="SF11" s="90">
        <f t="shared" si="295"/>
        <v>2334.0930620455838</v>
      </c>
      <c r="SG11" s="90">
        <f t="shared" si="296"/>
        <v>0.13484242385629841</v>
      </c>
      <c r="SH11" s="90">
        <f t="shared" si="297"/>
        <v>2334.2279042484638</v>
      </c>
      <c r="SI11" s="90">
        <f t="shared" si="298"/>
        <v>3.5512367328000005</v>
      </c>
      <c r="SJ11" s="90">
        <f t="shared" si="299"/>
        <v>3.5510315868638118</v>
      </c>
      <c r="SK11" s="90"/>
      <c r="SL11" s="90"/>
      <c r="SM11" s="90"/>
      <c r="SN11" s="90">
        <f t="shared" si="300"/>
        <v>2499.04</v>
      </c>
      <c r="SO11" s="90" t="e">
        <f>RU11-#REF!-#REF!-HZ11-LT11-LZ11-MF11-ML11-QL11-QN11-SD11</f>
        <v>#REF!</v>
      </c>
      <c r="SP11" s="90">
        <f t="shared" si="301"/>
        <v>2446.2799999999997</v>
      </c>
      <c r="SQ11" s="90">
        <f t="shared" si="302"/>
        <v>2576.6179962200999</v>
      </c>
      <c r="SR11" s="90">
        <f t="shared" si="303"/>
        <v>3.7217100258633797</v>
      </c>
      <c r="SS11" s="90">
        <f t="shared" si="304"/>
        <v>3.9200030369999994</v>
      </c>
      <c r="ST11" s="90">
        <f t="shared" si="305"/>
        <v>2586.4610000000007</v>
      </c>
      <c r="SU11" s="90">
        <v>3.7216889428918587</v>
      </c>
      <c r="SV11" s="90">
        <f t="shared" si="306"/>
        <v>3.93</v>
      </c>
      <c r="SW11" s="90">
        <v>3.92</v>
      </c>
      <c r="SX11" s="90">
        <f t="shared" si="307"/>
        <v>2576.62</v>
      </c>
      <c r="SY11" s="90">
        <v>3.7216889428918587</v>
      </c>
      <c r="SZ11" s="90">
        <f t="shared" si="308"/>
        <v>2446.2661421628191</v>
      </c>
      <c r="TA11" s="90">
        <f t="shared" si="309"/>
        <v>-1.3857837180694332E-2</v>
      </c>
      <c r="TB11" s="90">
        <v>0</v>
      </c>
      <c r="TC11" s="90">
        <f t="shared" si="310"/>
        <v>1164.0631500000004</v>
      </c>
      <c r="TD11" s="90" t="e">
        <f>#REF!+#REF!</f>
        <v>#REF!</v>
      </c>
      <c r="TE11" s="90" t="e">
        <f t="shared" si="311"/>
        <v>#REF!</v>
      </c>
      <c r="TF11" s="90">
        <v>1125.9018666666666</v>
      </c>
      <c r="TG11" s="90">
        <f t="shared" si="312"/>
        <v>15.70015027627529</v>
      </c>
      <c r="TH11" s="95"/>
      <c r="TI11" s="95"/>
      <c r="TJ11" s="95"/>
      <c r="TK11" s="95"/>
      <c r="TL11" s="95"/>
      <c r="TM11" s="95">
        <f t="shared" si="313"/>
        <v>0</v>
      </c>
      <c r="TN11" s="95">
        <f t="shared" si="314"/>
        <v>7414.3440000000001</v>
      </c>
      <c r="TO11" s="95">
        <f t="shared" si="315"/>
        <v>15.70015027627529</v>
      </c>
      <c r="TP11" s="95"/>
      <c r="TQ11" s="95">
        <f t="shared" si="316"/>
        <v>11.28</v>
      </c>
      <c r="TR11" s="95"/>
      <c r="TS11" s="95"/>
      <c r="TT11" s="95"/>
      <c r="TU11" s="95"/>
      <c r="TV11" s="95"/>
      <c r="TW11" s="95"/>
      <c r="TX11" s="95"/>
      <c r="TY11" s="95"/>
      <c r="TZ11" s="95">
        <f t="shared" si="317"/>
        <v>3.2313829787234036</v>
      </c>
      <c r="UA11" s="95">
        <f t="shared" si="318"/>
        <v>0.49632000000000004</v>
      </c>
      <c r="UB11" s="90">
        <v>0</v>
      </c>
      <c r="UC11" s="90">
        <f t="shared" si="319"/>
        <v>0</v>
      </c>
      <c r="UD11" s="90">
        <f t="shared" si="320"/>
        <v>0</v>
      </c>
      <c r="UE11" s="90">
        <f t="shared" si="321"/>
        <v>0</v>
      </c>
      <c r="UF11" s="90">
        <f t="shared" si="322"/>
        <v>7414.3440000000001</v>
      </c>
      <c r="UG11" s="91">
        <f t="shared" si="323"/>
        <v>0</v>
      </c>
      <c r="UH11" s="95">
        <f t="shared" si="324"/>
        <v>15.70015027627529</v>
      </c>
      <c r="UI11" s="95">
        <f t="shared" si="325"/>
        <v>7414.3440000000001</v>
      </c>
      <c r="UJ11" s="101">
        <f t="shared" si="326"/>
        <v>0</v>
      </c>
      <c r="UK11" s="101">
        <f t="shared" si="327"/>
        <v>15.70015027627529</v>
      </c>
      <c r="UL11" s="90" t="e">
        <f>(#REF!+#REF!+HZ11+LT11+LZ11+MF11+ML11+QL11+QN11+SN11+TC11+TM11+UC11)/I11</f>
        <v>#REF!</v>
      </c>
      <c r="UN11" s="90" t="e">
        <f>#REF!/I11</f>
        <v>#REF!</v>
      </c>
      <c r="UO11" s="90" t="e">
        <f>#REF!/I11</f>
        <v>#REF!</v>
      </c>
      <c r="UP11" s="90">
        <v>1.1499999999999999</v>
      </c>
      <c r="UQ11" s="90" t="e">
        <f t="shared" si="328"/>
        <v>#REF!</v>
      </c>
      <c r="UR11" s="90">
        <f t="shared" si="329"/>
        <v>6926.2179962200989</v>
      </c>
      <c r="US11" s="90">
        <f t="shared" si="330"/>
        <v>8783.4691666666677</v>
      </c>
      <c r="UT11" s="90">
        <f t="shared" si="331"/>
        <v>8783.4691666666677</v>
      </c>
      <c r="UU11" s="90">
        <f t="shared" si="332"/>
        <v>9085.8291666666682</v>
      </c>
      <c r="UV11" s="90">
        <f t="shared" si="333"/>
        <v>8999.753333333334</v>
      </c>
      <c r="UW11" s="90">
        <f t="shared" si="334"/>
        <v>6.2999999999999989</v>
      </c>
      <c r="UX11" s="90">
        <f t="shared" si="335"/>
        <v>3.92</v>
      </c>
      <c r="UY11" s="90">
        <f t="shared" si="336"/>
        <v>3.8019777879202796</v>
      </c>
      <c r="UZ11" s="100">
        <f t="shared" si="337"/>
        <v>3.5512367328000005</v>
      </c>
      <c r="VA11" s="90">
        <f t="shared" si="338"/>
        <v>0.69</v>
      </c>
      <c r="VB11" s="90">
        <f t="shared" si="339"/>
        <v>1.69</v>
      </c>
      <c r="VC11" s="90">
        <f t="shared" si="340"/>
        <v>0</v>
      </c>
      <c r="VD11" s="90">
        <f t="shared" si="341"/>
        <v>0</v>
      </c>
      <c r="VE11" s="90">
        <f t="shared" si="342"/>
        <v>0</v>
      </c>
      <c r="VF11" s="90">
        <f t="shared" si="343"/>
        <v>0</v>
      </c>
      <c r="VG11" s="90">
        <f t="shared" si="344"/>
        <v>0</v>
      </c>
      <c r="VH11" s="90">
        <f t="shared" si="345"/>
        <v>0</v>
      </c>
      <c r="VI11" s="90">
        <f t="shared" si="346"/>
        <v>0</v>
      </c>
      <c r="VJ11" s="90">
        <f t="shared" si="347"/>
        <v>0</v>
      </c>
      <c r="VK11" s="90">
        <f t="shared" si="348"/>
        <v>0.69</v>
      </c>
      <c r="VL11" s="90">
        <f t="shared" si="349"/>
        <v>3.64</v>
      </c>
      <c r="VM11" s="90">
        <f t="shared" si="350"/>
        <v>4.8899999999999997</v>
      </c>
      <c r="VN11" s="90">
        <f t="shared" si="351"/>
        <v>0</v>
      </c>
      <c r="VO11" s="90">
        <f t="shared" si="352"/>
        <v>4.8899999999999997</v>
      </c>
      <c r="VP11" s="97">
        <v>0</v>
      </c>
      <c r="VQ11" s="97">
        <v>4.8899999999999997</v>
      </c>
      <c r="VR11" s="90">
        <f t="shared" si="353"/>
        <v>0.44</v>
      </c>
      <c r="VS11" s="90">
        <f t="shared" si="354"/>
        <v>0.15</v>
      </c>
      <c r="VT11" s="90">
        <v>0.11989898989898991</v>
      </c>
      <c r="VU11" s="90">
        <f t="shared" si="355"/>
        <v>0.15419999999999998</v>
      </c>
      <c r="VV11" s="90">
        <v>0.38175323599898991</v>
      </c>
      <c r="VW11" s="90">
        <f t="shared" si="356"/>
        <v>0.59</v>
      </c>
      <c r="VX11" s="90">
        <f t="shared" si="357"/>
        <v>15.419999999999998</v>
      </c>
      <c r="VY11" s="90">
        <f t="shared" si="358"/>
        <v>15.419999999999998</v>
      </c>
      <c r="VZ11" s="90">
        <f t="shared" si="359"/>
        <v>0</v>
      </c>
      <c r="WA11" s="90"/>
      <c r="WB11" s="90">
        <f t="shared" si="360"/>
        <v>15.419999999999998</v>
      </c>
      <c r="WC11" s="90">
        <f t="shared" si="361"/>
        <v>0</v>
      </c>
      <c r="WD11" s="90"/>
      <c r="WE11" s="90">
        <v>15.41</v>
      </c>
      <c r="WF11" s="90"/>
      <c r="WG11" s="90">
        <f t="shared" si="362"/>
        <v>10135.566000000001</v>
      </c>
      <c r="WH11" s="90">
        <f t="shared" si="363"/>
        <v>10135.566000000001</v>
      </c>
      <c r="WI11" s="90">
        <f t="shared" si="364"/>
        <v>10140.417996220098</v>
      </c>
      <c r="WJ11" s="90">
        <f t="shared" si="365"/>
        <v>6926.2179962200989</v>
      </c>
      <c r="WK11" s="97">
        <v>3219.58</v>
      </c>
      <c r="WL11" s="97">
        <v>4.8899999999999997</v>
      </c>
      <c r="WM11" s="90">
        <f t="shared" si="366"/>
        <v>3214.2</v>
      </c>
      <c r="WN11" s="90">
        <f t="shared" si="367"/>
        <v>4.8899999999999997</v>
      </c>
      <c r="WO11" s="90"/>
      <c r="WP11" s="97">
        <v>15.41</v>
      </c>
      <c r="WQ11" s="90">
        <f t="shared" si="368"/>
        <v>15.419999999999998</v>
      </c>
      <c r="WR11" s="91">
        <f t="shared" si="369"/>
        <v>136.70212765957444</v>
      </c>
      <c r="WS11" s="91">
        <f t="shared" si="370"/>
        <v>136.70212765957444</v>
      </c>
      <c r="WT11" s="90">
        <f t="shared" si="371"/>
        <v>10128.99</v>
      </c>
      <c r="WU11" s="90">
        <f t="shared" si="372"/>
        <v>10140.417996220098</v>
      </c>
      <c r="WV11" s="90">
        <f t="shared" si="373"/>
        <v>-11.427996220098066</v>
      </c>
      <c r="WW11" s="90"/>
      <c r="WX11" s="90"/>
      <c r="WY11" s="90"/>
      <c r="WZ11" s="90">
        <f t="shared" si="374"/>
        <v>1.5019959595959604</v>
      </c>
      <c r="XA11" s="90">
        <v>0</v>
      </c>
      <c r="XB11" s="90">
        <f t="shared" si="375"/>
        <v>1.5019959595959604</v>
      </c>
      <c r="XC11" s="90">
        <f t="shared" si="376"/>
        <v>0.35759999999999997</v>
      </c>
      <c r="XD11" s="90">
        <f t="shared" si="377"/>
        <v>0.1204040404040404</v>
      </c>
      <c r="XE11" s="90"/>
      <c r="XF11" s="90">
        <f t="shared" si="378"/>
        <v>11.92</v>
      </c>
      <c r="XG11" s="90">
        <v>1.7100575131632236</v>
      </c>
      <c r="XH11" s="20">
        <v>11.28</v>
      </c>
      <c r="XI11" s="20">
        <v>0</v>
      </c>
      <c r="XJ11" s="20"/>
      <c r="XK11" s="20"/>
      <c r="XL11" s="20"/>
      <c r="XM11" s="20">
        <f t="shared" si="379"/>
        <v>11.28</v>
      </c>
      <c r="XN11" s="91">
        <f t="shared" si="380"/>
        <v>136.70212765957444</v>
      </c>
      <c r="XO11" s="20">
        <f t="shared" si="381"/>
        <v>11.28</v>
      </c>
      <c r="XP11" s="90">
        <f t="shared" si="382"/>
        <v>11.28</v>
      </c>
      <c r="XQ11" s="91">
        <f t="shared" si="383"/>
        <v>136.70212765957444</v>
      </c>
      <c r="XR11" s="102"/>
      <c r="XS11" s="90">
        <f t="shared" si="384"/>
        <v>3.64</v>
      </c>
      <c r="XT11" s="90">
        <f t="shared" si="385"/>
        <v>6.2999999999999989</v>
      </c>
      <c r="XU11" s="90">
        <f t="shared" si="386"/>
        <v>3.92</v>
      </c>
      <c r="XV11" s="90">
        <f t="shared" si="387"/>
        <v>0.69</v>
      </c>
      <c r="XW11" s="90">
        <f t="shared" si="388"/>
        <v>0.69</v>
      </c>
      <c r="XX11" s="90">
        <f t="shared" si="389"/>
        <v>0</v>
      </c>
      <c r="XY11" s="90">
        <f t="shared" si="390"/>
        <v>1.69</v>
      </c>
      <c r="XZ11" s="90">
        <f t="shared" si="391"/>
        <v>0</v>
      </c>
      <c r="YA11" s="90">
        <f t="shared" si="392"/>
        <v>0</v>
      </c>
      <c r="YB11" s="90">
        <f t="shared" si="393"/>
        <v>0</v>
      </c>
      <c r="YC11" s="90">
        <f t="shared" si="393"/>
        <v>0</v>
      </c>
      <c r="YD11" s="90">
        <f t="shared" si="394"/>
        <v>1.69</v>
      </c>
      <c r="YE11" s="90">
        <f t="shared" si="395"/>
        <v>4.8899999999999997</v>
      </c>
      <c r="YF11" s="90">
        <f t="shared" si="396"/>
        <v>0.59</v>
      </c>
      <c r="YG11" s="90">
        <f t="shared" si="397"/>
        <v>15.419999999999998</v>
      </c>
      <c r="YI11" s="103" t="s">
        <v>439</v>
      </c>
      <c r="YK11" s="90">
        <f t="shared" si="398"/>
        <v>1.07</v>
      </c>
      <c r="YL11" s="90">
        <f t="shared" si="399"/>
        <v>0.69</v>
      </c>
      <c r="YM11" s="90">
        <f t="shared" si="399"/>
        <v>1.69</v>
      </c>
      <c r="YN11" s="90">
        <f t="shared" si="400"/>
        <v>3.64</v>
      </c>
      <c r="YO11" s="90">
        <f t="shared" si="401"/>
        <v>8.33</v>
      </c>
      <c r="YP11" s="90">
        <f t="shared" si="402"/>
        <v>0</v>
      </c>
      <c r="YQ11" s="90">
        <f t="shared" si="403"/>
        <v>15.419999999999998</v>
      </c>
      <c r="YR11" s="90">
        <f t="shared" si="404"/>
        <v>0</v>
      </c>
      <c r="YS11" s="104">
        <f t="shared" si="405"/>
        <v>15.42</v>
      </c>
      <c r="YT11" s="104">
        <f t="shared" si="406"/>
        <v>0</v>
      </c>
      <c r="YY11" s="90">
        <f t="shared" si="407"/>
        <v>8.5499999999999989</v>
      </c>
      <c r="YZ11" s="90">
        <f t="shared" si="408"/>
        <v>4.18</v>
      </c>
      <c r="ZA11" s="90">
        <f t="shared" si="409"/>
        <v>0.64</v>
      </c>
      <c r="ZB11" s="90">
        <f t="shared" si="410"/>
        <v>3.73</v>
      </c>
      <c r="ZC11" s="90">
        <f t="shared" si="411"/>
        <v>0</v>
      </c>
      <c r="ZD11" s="90">
        <f t="shared" si="412"/>
        <v>0</v>
      </c>
      <c r="ZE11" s="90">
        <f t="shared" si="413"/>
        <v>0</v>
      </c>
      <c r="ZF11" s="90">
        <f t="shared" si="414"/>
        <v>0</v>
      </c>
      <c r="ZG11" s="90">
        <f t="shared" si="415"/>
        <v>0</v>
      </c>
      <c r="ZH11" s="90">
        <f t="shared" si="416"/>
        <v>0</v>
      </c>
      <c r="ZI11" s="90">
        <f t="shared" si="417"/>
        <v>0</v>
      </c>
      <c r="ZJ11" s="90">
        <f t="shared" si="418"/>
        <v>0</v>
      </c>
      <c r="ZK11" s="90">
        <f t="shared" si="419"/>
        <v>0</v>
      </c>
      <c r="ZL11" s="90">
        <f t="shared" si="420"/>
        <v>0.02</v>
      </c>
      <c r="ZM11" s="90">
        <f t="shared" si="421"/>
        <v>4.1100000000000003</v>
      </c>
      <c r="ZN11" s="90">
        <f t="shared" si="422"/>
        <v>7.62</v>
      </c>
      <c r="ZO11" s="90">
        <f t="shared" si="423"/>
        <v>6.58</v>
      </c>
      <c r="ZP11" s="90">
        <f t="shared" si="424"/>
        <v>3.89</v>
      </c>
      <c r="ZQ11" s="90">
        <f t="shared" si="425"/>
        <v>0</v>
      </c>
      <c r="ZR11" s="90">
        <f t="shared" si="426"/>
        <v>3.89</v>
      </c>
      <c r="ZS11" s="97">
        <v>227</v>
      </c>
      <c r="ZT11" s="97">
        <v>230.38</v>
      </c>
      <c r="ZU11" s="90">
        <f t="shared" si="427"/>
        <v>0.52</v>
      </c>
      <c r="ZV11" s="90">
        <f t="shared" si="428"/>
        <v>0.18</v>
      </c>
      <c r="ZW11" s="90">
        <v>0.11989898989898991</v>
      </c>
      <c r="ZX11" s="90">
        <f t="shared" si="429"/>
        <v>0.17250000000000001</v>
      </c>
      <c r="ZY11" s="90">
        <v>0.38175323599898991</v>
      </c>
      <c r="ZZ11" s="90">
        <f t="shared" si="430"/>
        <v>0.7</v>
      </c>
      <c r="AAA11" s="90">
        <f t="shared" si="431"/>
        <v>17.25</v>
      </c>
      <c r="AAB11" s="90">
        <f t="shared" si="432"/>
        <v>17.25</v>
      </c>
      <c r="AAC11" s="90">
        <f t="shared" si="433"/>
        <v>0</v>
      </c>
      <c r="AAD11" s="90"/>
      <c r="AAE11" s="90">
        <f t="shared" si="434"/>
        <v>17.25</v>
      </c>
      <c r="AAF11" s="90">
        <v>15.41</v>
      </c>
      <c r="AAG11" s="90">
        <f t="shared" si="435"/>
        <v>111.86770428015566</v>
      </c>
      <c r="AAH11" s="90">
        <f t="shared" si="436"/>
        <v>0</v>
      </c>
      <c r="AAI11" s="90">
        <v>0</v>
      </c>
      <c r="AAJ11" s="90"/>
      <c r="AAK11" s="1">
        <v>17.03</v>
      </c>
      <c r="AAL11" s="104">
        <f t="shared" si="437"/>
        <v>0.21999999999999886</v>
      </c>
      <c r="AAM11" s="103" t="s">
        <v>446</v>
      </c>
      <c r="AAN11" s="105">
        <v>8.57</v>
      </c>
      <c r="AAO11" s="90">
        <f t="shared" si="438"/>
        <v>9.34</v>
      </c>
      <c r="AAP11" s="90">
        <v>4.21</v>
      </c>
      <c r="AAQ11" s="90">
        <f t="shared" si="439"/>
        <v>4.18</v>
      </c>
      <c r="AAR11" s="90">
        <v>0.64</v>
      </c>
      <c r="AAS11" s="90">
        <f t="shared" si="440"/>
        <v>0.97</v>
      </c>
      <c r="AAT11" s="90">
        <f t="shared" si="441"/>
        <v>151.5625</v>
      </c>
      <c r="AAU11" s="90">
        <v>3.72</v>
      </c>
      <c r="AAV11" s="90">
        <f t="shared" si="442"/>
        <v>3.73</v>
      </c>
      <c r="AAW11" s="90">
        <f t="shared" si="443"/>
        <v>100.26881720430107</v>
      </c>
      <c r="AAX11" s="90">
        <f t="shared" si="444"/>
        <v>0.46</v>
      </c>
      <c r="AAY11" s="90">
        <f t="shared" si="445"/>
        <v>0</v>
      </c>
      <c r="AAZ11" s="90">
        <f t="shared" si="446"/>
        <v>0</v>
      </c>
      <c r="ABA11" s="90">
        <f t="shared" si="447"/>
        <v>0</v>
      </c>
      <c r="ABB11" s="90">
        <f t="shared" si="448"/>
        <v>0</v>
      </c>
      <c r="ABC11" s="90">
        <v>0</v>
      </c>
      <c r="ABD11" s="90">
        <f t="shared" si="449"/>
        <v>0</v>
      </c>
      <c r="ABE11" s="90"/>
      <c r="ABF11" s="90">
        <v>0</v>
      </c>
      <c r="ABG11" s="90">
        <f t="shared" si="450"/>
        <v>0</v>
      </c>
      <c r="ABH11" s="90"/>
      <c r="ABI11" s="90">
        <f t="shared" si="451"/>
        <v>0</v>
      </c>
      <c r="ABJ11" s="90">
        <f t="shared" si="452"/>
        <v>0</v>
      </c>
      <c r="ABK11" s="90">
        <v>0</v>
      </c>
      <c r="ABL11" s="90">
        <f t="shared" si="453"/>
        <v>0</v>
      </c>
      <c r="ABM11" s="90">
        <f t="shared" si="454"/>
        <v>0</v>
      </c>
      <c r="ABN11" s="90">
        <f t="shared" si="455"/>
        <v>0.02</v>
      </c>
      <c r="ABO11" s="90">
        <v>3.91</v>
      </c>
      <c r="ABP11" s="90">
        <f t="shared" si="456"/>
        <v>4.1100000000000003</v>
      </c>
      <c r="ABQ11" s="90">
        <f t="shared" si="457"/>
        <v>105.1150895140665</v>
      </c>
      <c r="ABR11" s="90">
        <f t="shared" si="458"/>
        <v>7.62</v>
      </c>
      <c r="ABS11" s="90">
        <f t="shared" si="459"/>
        <v>6.58</v>
      </c>
      <c r="ABT11" s="90">
        <v>3.89</v>
      </c>
      <c r="ABU11" s="90">
        <f t="shared" si="460"/>
        <v>3.89</v>
      </c>
      <c r="ABV11" s="90">
        <f t="shared" si="461"/>
        <v>100</v>
      </c>
      <c r="ABW11" s="90">
        <f t="shared" si="462"/>
        <v>0</v>
      </c>
      <c r="ABX11" s="90">
        <f t="shared" si="463"/>
        <v>3.89</v>
      </c>
      <c r="ABY11" s="97">
        <v>227</v>
      </c>
      <c r="ABZ11" s="97">
        <v>230.38</v>
      </c>
      <c r="ACA11" s="90">
        <f t="shared" si="464"/>
        <v>0.52</v>
      </c>
      <c r="ACB11" s="90">
        <f t="shared" si="465"/>
        <v>0.18</v>
      </c>
      <c r="ACC11" s="90">
        <v>0.11989898989898991</v>
      </c>
      <c r="ACD11" s="90">
        <f t="shared" si="466"/>
        <v>0.17579999999999998</v>
      </c>
      <c r="ACE11" s="90">
        <v>0.38175323599898991</v>
      </c>
      <c r="ACF11" s="90">
        <v>0.66</v>
      </c>
      <c r="ACG11" s="90">
        <f t="shared" si="467"/>
        <v>0.7</v>
      </c>
      <c r="ACH11" s="90">
        <f t="shared" si="468"/>
        <v>106.06060606060606</v>
      </c>
      <c r="ACI11" s="90">
        <f t="shared" si="469"/>
        <v>18.04</v>
      </c>
      <c r="ACJ11" s="90">
        <f t="shared" si="470"/>
        <v>17.579999999999998</v>
      </c>
      <c r="ACK11" s="90">
        <f t="shared" si="471"/>
        <v>-0.46000000000000085</v>
      </c>
      <c r="ACL11" s="90"/>
      <c r="ACM11" s="90">
        <f t="shared" si="472"/>
        <v>18.04</v>
      </c>
      <c r="ACN11" s="90">
        <f t="shared" si="473"/>
        <v>0</v>
      </c>
      <c r="ACO11" s="90">
        <f t="shared" si="474"/>
        <v>18.04</v>
      </c>
      <c r="ACP11" s="90">
        <v>17.03</v>
      </c>
      <c r="ACQ11" s="90">
        <f t="shared" si="475"/>
        <v>105.93071051086318</v>
      </c>
      <c r="ACR11" s="90">
        <f t="shared" si="476"/>
        <v>0</v>
      </c>
      <c r="ACS11" s="90">
        <v>0</v>
      </c>
      <c r="ACT11" s="90"/>
      <c r="ACU11" s="90">
        <f t="shared" si="477"/>
        <v>17.898530000000001</v>
      </c>
      <c r="ACV11" s="90">
        <f t="shared" si="478"/>
        <v>-0.14146999999999821</v>
      </c>
      <c r="ACX11" s="106" t="s">
        <v>447</v>
      </c>
      <c r="ACY11" s="107"/>
      <c r="ACZ11" s="107">
        <v>80000</v>
      </c>
      <c r="ADB11" s="90">
        <f t="shared" si="479"/>
        <v>4.1100000000000003</v>
      </c>
      <c r="ADC11" s="90">
        <f t="shared" si="480"/>
        <v>9.34</v>
      </c>
      <c r="ADD11" s="90">
        <f t="shared" si="481"/>
        <v>4.18</v>
      </c>
      <c r="ADE11" s="90">
        <f t="shared" si="482"/>
        <v>1.43</v>
      </c>
      <c r="ADF11" s="90">
        <f t="shared" si="483"/>
        <v>0.97</v>
      </c>
      <c r="ADG11" s="90">
        <f t="shared" si="484"/>
        <v>0.46</v>
      </c>
      <c r="ADH11" s="90">
        <f t="shared" si="484"/>
        <v>0</v>
      </c>
      <c r="ADI11" s="90">
        <f t="shared" si="484"/>
        <v>0</v>
      </c>
      <c r="ADJ11" s="90">
        <f t="shared" si="485"/>
        <v>3.73</v>
      </c>
      <c r="ADK11" s="90">
        <f t="shared" si="486"/>
        <v>0</v>
      </c>
      <c r="ADL11" s="90">
        <f t="shared" si="487"/>
        <v>0</v>
      </c>
      <c r="ADM11" s="90">
        <f t="shared" si="488"/>
        <v>0</v>
      </c>
      <c r="ADN11" s="90">
        <f t="shared" si="488"/>
        <v>0</v>
      </c>
      <c r="ADO11" s="90">
        <f t="shared" si="489"/>
        <v>3.73</v>
      </c>
      <c r="ADP11" s="90">
        <f t="shared" si="490"/>
        <v>3.89</v>
      </c>
      <c r="ADQ11" s="90">
        <f t="shared" si="491"/>
        <v>0.7</v>
      </c>
      <c r="ADR11" s="90">
        <f t="shared" si="492"/>
        <v>18.04</v>
      </c>
      <c r="ADU11" s="90">
        <f t="shared" si="493"/>
        <v>1.1499999999999999</v>
      </c>
      <c r="ADV11" s="90">
        <f t="shared" si="494"/>
        <v>0.97</v>
      </c>
      <c r="ADW11" s="90">
        <f t="shared" si="495"/>
        <v>3.73</v>
      </c>
      <c r="ADX11" s="90">
        <f t="shared" si="496"/>
        <v>4.1100000000000003</v>
      </c>
      <c r="ADY11" s="90">
        <f t="shared" si="497"/>
        <v>7.62</v>
      </c>
      <c r="ADZ11" s="90">
        <f t="shared" si="498"/>
        <v>0</v>
      </c>
      <c r="AEA11" s="90">
        <f t="shared" si="499"/>
        <v>18.04</v>
      </c>
      <c r="AEB11" s="90">
        <f t="shared" si="500"/>
        <v>0</v>
      </c>
      <c r="AEC11" s="104">
        <f t="shared" si="501"/>
        <v>17.580000000000002</v>
      </c>
      <c r="AED11" s="104">
        <f t="shared" si="502"/>
        <v>0.4599999999999973</v>
      </c>
      <c r="AEG11" s="1">
        <v>8.57</v>
      </c>
      <c r="AEH11" s="1">
        <v>4.21</v>
      </c>
      <c r="AEI11" s="1">
        <v>0.64</v>
      </c>
      <c r="AEJ11" s="1">
        <v>3.72</v>
      </c>
      <c r="AEK11" s="1">
        <v>0</v>
      </c>
      <c r="AEL11" s="1">
        <v>0</v>
      </c>
      <c r="AEM11" s="1">
        <v>0</v>
      </c>
      <c r="AEN11" s="1">
        <v>0</v>
      </c>
      <c r="AEO11" s="1">
        <v>0</v>
      </c>
      <c r="AEP11" s="1">
        <v>0</v>
      </c>
      <c r="AEQ11" s="1">
        <v>0</v>
      </c>
      <c r="AER11" s="1">
        <v>0</v>
      </c>
      <c r="AES11" s="1">
        <v>0</v>
      </c>
      <c r="AET11" s="1">
        <v>0</v>
      </c>
      <c r="AEU11" s="1">
        <v>0</v>
      </c>
      <c r="AEV11" s="1">
        <v>0.02</v>
      </c>
      <c r="AEW11" s="1">
        <v>3.91</v>
      </c>
      <c r="AEX11" s="1">
        <v>7.61</v>
      </c>
      <c r="AEY11" s="1">
        <v>6.58</v>
      </c>
      <c r="AEZ11" s="1">
        <v>3.89</v>
      </c>
      <c r="AFA11" s="1">
        <v>0</v>
      </c>
      <c r="AFB11" s="1">
        <v>3.89</v>
      </c>
      <c r="AFC11" s="1">
        <v>227</v>
      </c>
      <c r="AFD11" s="1">
        <v>230.38</v>
      </c>
      <c r="AFE11" s="1">
        <v>0.49</v>
      </c>
      <c r="AFF11" s="1">
        <v>0.17</v>
      </c>
      <c r="AFG11" s="1">
        <v>0.11989898989898991</v>
      </c>
      <c r="AFH11" s="1">
        <v>0.17030000000000001</v>
      </c>
      <c r="AFI11" s="1">
        <v>0.38175323599898991</v>
      </c>
      <c r="AFJ11" s="1">
        <v>0.66</v>
      </c>
      <c r="AFK11" s="1">
        <v>17.03</v>
      </c>
      <c r="AFL11" s="1">
        <v>17.03</v>
      </c>
      <c r="AFM11" s="1">
        <v>0</v>
      </c>
      <c r="AFO11" s="1">
        <v>17.03</v>
      </c>
      <c r="AFP11" s="1">
        <v>0</v>
      </c>
      <c r="AFQ11" s="1">
        <v>17.04</v>
      </c>
      <c r="AFX11" s="1">
        <v>17.739999999999998</v>
      </c>
    </row>
    <row r="12" spans="1:856" s="1" customFormat="1" ht="63.75" customHeight="1">
      <c r="A12" s="88">
        <v>4</v>
      </c>
      <c r="B12" s="20"/>
      <c r="C12" s="89" t="s">
        <v>448</v>
      </c>
      <c r="D12" s="20"/>
      <c r="E12" s="20" t="s">
        <v>437</v>
      </c>
      <c r="F12" s="20" t="s">
        <v>438</v>
      </c>
      <c r="G12" s="20">
        <v>0.8</v>
      </c>
      <c r="H12" s="20">
        <v>626.70000000000005</v>
      </c>
      <c r="I12" s="20">
        <f>626.7-1.7-1-0.3-1-0.1-1.4-0.8-1.7+29.8-1.6+0.2</f>
        <v>647.1</v>
      </c>
      <c r="J12" s="20">
        <f t="shared" si="0"/>
        <v>517.68000000000006</v>
      </c>
      <c r="K12" s="20">
        <v>16</v>
      </c>
      <c r="L12" s="20"/>
      <c r="M12" s="20"/>
      <c r="N12" s="20"/>
      <c r="O12" s="90">
        <f t="shared" si="1"/>
        <v>0</v>
      </c>
      <c r="P12" s="20"/>
      <c r="Q12" s="20"/>
      <c r="R12" s="90">
        <f t="shared" si="2"/>
        <v>0</v>
      </c>
      <c r="S12" s="20">
        <v>48.4</v>
      </c>
      <c r="T12" s="20">
        <v>2.6</v>
      </c>
      <c r="U12" s="20">
        <v>3.13</v>
      </c>
      <c r="V12" s="91">
        <f t="shared" si="3"/>
        <v>393.88</v>
      </c>
      <c r="W12" s="20">
        <v>2.1000000000000001E-2</v>
      </c>
      <c r="X12" s="20">
        <f t="shared" si="4"/>
        <v>33.42</v>
      </c>
      <c r="Y12" s="91">
        <f t="shared" si="5"/>
        <v>33.97</v>
      </c>
      <c r="Z12" s="20"/>
      <c r="AA12" s="20"/>
      <c r="AB12" s="20"/>
      <c r="AC12" s="91">
        <f t="shared" si="6"/>
        <v>427.85</v>
      </c>
      <c r="AD12" s="90">
        <f t="shared" si="7"/>
        <v>0.66</v>
      </c>
      <c r="AE12" s="92">
        <f t="shared" si="8"/>
        <v>5134.2000000000007</v>
      </c>
      <c r="AF12" s="20">
        <v>46</v>
      </c>
      <c r="AG12" s="20">
        <v>43</v>
      </c>
      <c r="AH12" s="20">
        <v>43</v>
      </c>
      <c r="AI12" s="20">
        <f>3+41</f>
        <v>44</v>
      </c>
      <c r="AJ12" s="20">
        <v>1.6</v>
      </c>
      <c r="AK12" s="90">
        <f t="shared" si="9"/>
        <v>5.73</v>
      </c>
      <c r="AL12" s="90">
        <v>391.01</v>
      </c>
      <c r="AM12" s="90">
        <f t="shared" si="10"/>
        <v>2240.4899999999998</v>
      </c>
      <c r="AN12" s="20">
        <v>45</v>
      </c>
      <c r="AO12" s="20">
        <v>42</v>
      </c>
      <c r="AP12" s="20">
        <v>46</v>
      </c>
      <c r="AQ12" s="20">
        <v>45</v>
      </c>
      <c r="AR12" s="20">
        <v>42</v>
      </c>
      <c r="AS12" s="20">
        <f>3+43</f>
        <v>46</v>
      </c>
      <c r="AT12" s="20">
        <f t="shared" si="11"/>
        <v>3</v>
      </c>
      <c r="AU12" s="20">
        <v>1.6</v>
      </c>
      <c r="AV12" s="90">
        <f t="shared" si="12"/>
        <v>6.13</v>
      </c>
      <c r="AW12" s="90">
        <f t="shared" si="13"/>
        <v>180.78</v>
      </c>
      <c r="AX12" s="90">
        <v>1108.78</v>
      </c>
      <c r="AY12" s="90">
        <f t="shared" si="14"/>
        <v>1.71</v>
      </c>
      <c r="AZ12" s="90">
        <f t="shared" si="15"/>
        <v>2398.19</v>
      </c>
      <c r="BA12" s="90">
        <f t="shared" si="16"/>
        <v>-1289.4100000000001</v>
      </c>
      <c r="BB12" s="90">
        <v>1108.78</v>
      </c>
      <c r="BC12" s="90">
        <v>1.71</v>
      </c>
      <c r="BD12" s="92">
        <f t="shared" si="17"/>
        <v>13305.36</v>
      </c>
      <c r="BE12" s="90"/>
      <c r="BF12" s="90">
        <f t="shared" si="18"/>
        <v>0</v>
      </c>
      <c r="BG12" s="90">
        <v>391.01</v>
      </c>
      <c r="BH12" s="90">
        <f t="shared" si="19"/>
        <v>2396.89</v>
      </c>
      <c r="BI12" s="90">
        <f t="shared" si="20"/>
        <v>3.7</v>
      </c>
      <c r="BJ12" s="90">
        <f t="shared" si="21"/>
        <v>216.37426900584796</v>
      </c>
      <c r="BK12" s="90">
        <f t="shared" si="22"/>
        <v>2396.89</v>
      </c>
      <c r="BL12" s="90">
        <f t="shared" si="23"/>
        <v>3.7</v>
      </c>
      <c r="BM12" s="90"/>
      <c r="BN12" s="90">
        <f t="shared" si="24"/>
        <v>0</v>
      </c>
      <c r="BO12" s="90">
        <f t="shared" si="25"/>
        <v>2396.89</v>
      </c>
      <c r="BP12" s="90">
        <f t="shared" si="26"/>
        <v>3.7040488332560653</v>
      </c>
      <c r="BQ12" s="90"/>
      <c r="BR12" s="90">
        <f t="shared" si="27"/>
        <v>0</v>
      </c>
      <c r="BS12" s="90">
        <f t="shared" si="28"/>
        <v>2396.89</v>
      </c>
      <c r="BT12" s="90">
        <f t="shared" si="29"/>
        <v>3.7040488332560653</v>
      </c>
      <c r="BU12" s="90"/>
      <c r="BV12" s="93">
        <v>0.82054400000000005</v>
      </c>
      <c r="BW12" s="90">
        <f t="shared" si="30"/>
        <v>530.97402240000008</v>
      </c>
      <c r="BX12" s="90">
        <f t="shared" si="31"/>
        <v>562.83246374400017</v>
      </c>
      <c r="BY12" s="90"/>
      <c r="BZ12" s="90"/>
      <c r="CA12" s="90">
        <v>0.26506960000000002</v>
      </c>
      <c r="CB12" s="90">
        <f t="shared" si="32"/>
        <v>171.52653816000003</v>
      </c>
      <c r="CC12" s="90">
        <v>0.71072749999999996</v>
      </c>
      <c r="CD12" s="90">
        <f t="shared" si="33"/>
        <v>121.90862765011141</v>
      </c>
      <c r="CE12" s="90">
        <f t="shared" si="34"/>
        <v>184.34117462842767</v>
      </c>
      <c r="CF12" s="90">
        <f>I12*0.278104229</f>
        <v>179.9612465859</v>
      </c>
      <c r="CG12" s="90">
        <f>I12*0.278104229</f>
        <v>179.9612465859</v>
      </c>
      <c r="CH12" s="90">
        <f t="shared" si="35"/>
        <v>188.6</v>
      </c>
      <c r="CI12" s="90">
        <f>CH12/($SP12-$HL12)*($SX12-$HN12)</f>
        <v>197.93560608905958</v>
      </c>
      <c r="CJ12" s="90">
        <f t="shared" si="36"/>
        <v>198.97</v>
      </c>
      <c r="CK12" s="90">
        <f t="shared" si="37"/>
        <v>210.43670849338457</v>
      </c>
      <c r="CL12" s="90">
        <f t="shared" si="38"/>
        <v>210.43670849338457</v>
      </c>
      <c r="CM12" s="94">
        <v>0.14899999999999999</v>
      </c>
      <c r="CN12" s="90">
        <f t="shared" si="39"/>
        <v>79.11512933760001</v>
      </c>
      <c r="CO12" s="90">
        <f t="shared" si="40"/>
        <v>83.862037097856017</v>
      </c>
      <c r="CP12" s="90"/>
      <c r="CQ12" s="90">
        <v>3.9538999999999998E-2</v>
      </c>
      <c r="CR12" s="90">
        <f t="shared" si="41"/>
        <v>25.585686899999999</v>
      </c>
      <c r="CS12" s="90">
        <v>0.71072749999999996</v>
      </c>
      <c r="CT12" s="90">
        <f t="shared" si="42"/>
        <v>18.184451286219748</v>
      </c>
      <c r="CU12" s="90">
        <f t="shared" si="43"/>
        <v>27.497176981567858</v>
      </c>
      <c r="CV12" s="90">
        <f>I12*0.085944411</f>
        <v>55.614628358099999</v>
      </c>
      <c r="CW12" s="90">
        <f t="shared" si="44"/>
        <v>58.28</v>
      </c>
      <c r="CX12" s="90">
        <f>CW12/($SP12-$HL12)*($SX12-$HN12)</f>
        <v>61.164830980224778</v>
      </c>
      <c r="CY12" s="90">
        <f t="shared" si="45"/>
        <v>61.49</v>
      </c>
      <c r="CZ12" s="90">
        <f t="shared" si="46"/>
        <v>65.027843960734103</v>
      </c>
      <c r="DA12" s="90">
        <f t="shared" si="47"/>
        <v>65.027843960734103</v>
      </c>
      <c r="DB12" s="93">
        <v>0.80940000000000001</v>
      </c>
      <c r="DC12" s="90">
        <f t="shared" si="48"/>
        <v>523.76274000000001</v>
      </c>
      <c r="DD12" s="90">
        <f t="shared" si="49"/>
        <v>555.18850440000006</v>
      </c>
      <c r="DE12" s="90"/>
      <c r="DF12" s="90"/>
      <c r="DG12" s="90">
        <v>0.16261500000000001</v>
      </c>
      <c r="DH12" s="90">
        <f t="shared" si="50"/>
        <v>105.22816650000001</v>
      </c>
      <c r="DI12" s="90">
        <v>0.71072749999999996</v>
      </c>
      <c r="DJ12" s="90">
        <f t="shared" si="51"/>
        <v>74.788551706128757</v>
      </c>
      <c r="DK12" s="90">
        <f t="shared" si="52"/>
        <v>113.08969460172635</v>
      </c>
      <c r="DL12" s="90">
        <f>I12*0.138254139</f>
        <v>89.464253346900009</v>
      </c>
      <c r="DM12" s="90">
        <f t="shared" si="53"/>
        <v>93.76</v>
      </c>
      <c r="DN12" s="90">
        <f>DM12/($SP12-$HL12)*($SX12-$HN12)</f>
        <v>98.40107331341585</v>
      </c>
      <c r="DO12" s="90">
        <f t="shared" si="54"/>
        <v>98.92</v>
      </c>
      <c r="DP12" s="90">
        <f t="shared" si="55"/>
        <v>104.61583132735809</v>
      </c>
      <c r="DQ12" s="90">
        <f t="shared" si="56"/>
        <v>104.61583132735809</v>
      </c>
      <c r="DR12" s="93">
        <v>3.1841000000000001E-2</v>
      </c>
      <c r="DS12" s="90">
        <f t="shared" si="57"/>
        <v>20.6043111</v>
      </c>
      <c r="DT12" s="90">
        <f t="shared" si="58"/>
        <v>21.840569766000002</v>
      </c>
      <c r="DU12" s="90"/>
      <c r="DV12" s="90">
        <v>6.1506E-3</v>
      </c>
      <c r="DW12" s="90">
        <f t="shared" si="59"/>
        <v>3.98005326</v>
      </c>
      <c r="DX12" s="90">
        <v>0.71072749999999996</v>
      </c>
      <c r="DY12" s="90">
        <f t="shared" si="60"/>
        <v>2.8287333033466497</v>
      </c>
      <c r="DZ12" s="90">
        <f t="shared" si="61"/>
        <v>4.2774004588591339</v>
      </c>
      <c r="EA12" s="90">
        <f t="shared" si="62"/>
        <v>4.4800000000000004</v>
      </c>
      <c r="EB12" s="90">
        <f>EA12/($SP12-$HL12)*($SX12-$HN12)</f>
        <v>4.7017577692417136</v>
      </c>
      <c r="EC12" s="90">
        <f t="shared" si="63"/>
        <v>4.7300000000000004</v>
      </c>
      <c r="ED12" s="90">
        <f t="shared" si="64"/>
        <v>4.9987086641058491</v>
      </c>
      <c r="EE12" s="90">
        <f t="shared" si="65"/>
        <v>4.9987086641058491</v>
      </c>
      <c r="EF12" s="94">
        <v>0.85293354333000004</v>
      </c>
      <c r="EG12" s="90">
        <f t="shared" si="66"/>
        <v>441.54663671107448</v>
      </c>
      <c r="EH12" s="90">
        <f t="shared" si="67"/>
        <v>468.039434913739</v>
      </c>
      <c r="EI12" s="90"/>
      <c r="EJ12" s="90">
        <v>0.58970610000000001</v>
      </c>
      <c r="EK12" s="90">
        <f t="shared" si="68"/>
        <v>305.27905384800005</v>
      </c>
      <c r="EL12" s="90">
        <v>0.71072749999999996</v>
      </c>
      <c r="EM12" s="90">
        <f t="shared" si="69"/>
        <v>216.97021874375443</v>
      </c>
      <c r="EN12" s="90">
        <f t="shared" si="70"/>
        <v>328.08625405417757</v>
      </c>
      <c r="EO12" s="90">
        <f>J12*0.618073579</f>
        <v>319.96433037672006</v>
      </c>
      <c r="EP12" s="90">
        <f t="shared" si="71"/>
        <v>335.32</v>
      </c>
      <c r="EQ12" s="90">
        <f>EP12/($SP12-$HL12)*($SX12-$HN12)</f>
        <v>351.9181730317257</v>
      </c>
      <c r="ER12" s="90">
        <f t="shared" si="72"/>
        <v>353.76</v>
      </c>
      <c r="ES12" s="90">
        <f t="shared" si="73"/>
        <v>374.14441724285109</v>
      </c>
      <c r="ET12" s="90">
        <f t="shared" si="74"/>
        <v>374.14441724285109</v>
      </c>
      <c r="EU12" s="94">
        <v>0.14899999999999999</v>
      </c>
      <c r="EV12" s="90">
        <f t="shared" si="75"/>
        <v>65.790448869950097</v>
      </c>
      <c r="EW12" s="90">
        <f t="shared" si="76"/>
        <v>69.737875802147101</v>
      </c>
      <c r="EX12" s="90"/>
      <c r="EY12" s="90">
        <v>8.7874999999999995E-2</v>
      </c>
      <c r="EZ12" s="90">
        <f t="shared" si="77"/>
        <v>45.491130000000005</v>
      </c>
      <c r="FA12" s="90">
        <v>0.71072749999999996</v>
      </c>
      <c r="FB12" s="90">
        <f t="shared" si="78"/>
        <v>32.331797097075004</v>
      </c>
      <c r="FC12" s="90">
        <f t="shared" si="79"/>
        <v>48.889742831235516</v>
      </c>
      <c r="FD12" s="90">
        <f>J12*0.191143496</f>
        <v>98.951165009280004</v>
      </c>
      <c r="FE12" s="90">
        <f t="shared" si="80"/>
        <v>103.7</v>
      </c>
      <c r="FF12" s="90">
        <f>FE12/($SP12-$HL12)*($SX12-$HN12)</f>
        <v>108.8330983639209</v>
      </c>
      <c r="FG12" s="90">
        <f t="shared" si="81"/>
        <v>109.4</v>
      </c>
      <c r="FH12" s="90">
        <f t="shared" si="82"/>
        <v>115.70671617584296</v>
      </c>
      <c r="FI12" s="90">
        <f t="shared" si="83"/>
        <v>115.70671617584296</v>
      </c>
      <c r="FJ12" s="93">
        <v>0.49981642240000002</v>
      </c>
      <c r="FK12" s="90">
        <f t="shared" si="84"/>
        <v>258.74496554803204</v>
      </c>
      <c r="FL12" s="90">
        <f t="shared" si="85"/>
        <v>274.26966348091401</v>
      </c>
      <c r="FM12" s="90"/>
      <c r="FN12" s="90">
        <v>0.35816899099999999</v>
      </c>
      <c r="FO12" s="90">
        <f t="shared" si="86"/>
        <v>185.41692326088003</v>
      </c>
      <c r="FP12" s="90">
        <v>0.71072749999999996</v>
      </c>
      <c r="FQ12" s="90">
        <f t="shared" si="87"/>
        <v>131.78090632689711</v>
      </c>
      <c r="FR12" s="90">
        <f t="shared" si="88"/>
        <v>199.26930139531274</v>
      </c>
      <c r="FS12" s="90">
        <f>J12*0.303440293</f>
        <v>157.08497088024004</v>
      </c>
      <c r="FT12" s="90">
        <f t="shared" si="89"/>
        <v>164.63</v>
      </c>
      <c r="FU12" s="90">
        <f>J12*0.303696725</f>
        <v>157.21772059800003</v>
      </c>
      <c r="FV12" s="90">
        <f t="shared" si="90"/>
        <v>164.76</v>
      </c>
      <c r="FW12" s="90">
        <f>FV12/($SP12-$HL12)*($SX12-$HN12)</f>
        <v>172.91553795988048</v>
      </c>
      <c r="FX12" s="90">
        <f t="shared" si="91"/>
        <v>173.82</v>
      </c>
      <c r="FY12" s="90">
        <f t="shared" si="92"/>
        <v>183.83643738796417</v>
      </c>
      <c r="FZ12" s="90">
        <f t="shared" si="93"/>
        <v>183.83643738796417</v>
      </c>
      <c r="GA12" s="94">
        <v>1.352261642E-2</v>
      </c>
      <c r="GB12" s="90">
        <f t="shared" si="94"/>
        <v>7.0003880683056003</v>
      </c>
      <c r="GC12" s="90">
        <f t="shared" si="95"/>
        <v>7.4204113524039368</v>
      </c>
      <c r="GD12" s="90"/>
      <c r="GE12" s="90">
        <v>1.0795000000000001E-2</v>
      </c>
      <c r="GF12" s="90">
        <f t="shared" si="96"/>
        <v>5.5883556000000008</v>
      </c>
      <c r="GG12" s="90">
        <v>0.71072749999999996</v>
      </c>
      <c r="GH12" s="90">
        <f t="shared" si="97"/>
        <v>3.9717980046990005</v>
      </c>
      <c r="GI12" s="90">
        <f t="shared" si="98"/>
        <v>6.0058580240476518</v>
      </c>
      <c r="GJ12" s="90">
        <f t="shared" si="99"/>
        <v>6.29</v>
      </c>
      <c r="GK12" s="90">
        <f>GJ12/($SP12-$HL12)*($SX12-$HN12)</f>
        <v>6.6013518679755299</v>
      </c>
      <c r="GL12" s="90">
        <f t="shared" si="100"/>
        <v>6.64</v>
      </c>
      <c r="GM12" s="90">
        <f t="shared" si="101"/>
        <v>7.0182762270593262</v>
      </c>
      <c r="GN12" s="90">
        <f t="shared" si="102"/>
        <v>7.0182762270593262</v>
      </c>
      <c r="GO12" s="90">
        <v>3225.6</v>
      </c>
      <c r="GP12" s="90">
        <f t="shared" si="103"/>
        <v>268.8</v>
      </c>
      <c r="GQ12" s="90">
        <f>2116.8+138.6</f>
        <v>2255.4</v>
      </c>
      <c r="GR12" s="90">
        <f t="shared" si="104"/>
        <v>187.95000000000002</v>
      </c>
      <c r="GS12" s="90">
        <f t="shared" si="105"/>
        <v>456.75</v>
      </c>
      <c r="GT12" s="90">
        <f t="shared" si="106"/>
        <v>0.71</v>
      </c>
      <c r="GU12" s="90">
        <v>3224</v>
      </c>
      <c r="GV12" s="90">
        <f>1755.68+115.72</f>
        <v>1871.4</v>
      </c>
      <c r="GW12" s="90">
        <f t="shared" si="107"/>
        <v>424.61666666666662</v>
      </c>
      <c r="GX12" s="90">
        <f t="shared" si="108"/>
        <v>0.66</v>
      </c>
      <c r="GY12" s="90">
        <v>5761.6</v>
      </c>
      <c r="GZ12" s="90">
        <f>1867.36+123.7</f>
        <v>1991.06</v>
      </c>
      <c r="HA12" s="90">
        <f t="shared" si="109"/>
        <v>646.05499999999995</v>
      </c>
      <c r="HB12" s="90">
        <f t="shared" si="110"/>
        <v>1</v>
      </c>
      <c r="HC12" s="90">
        <v>5761.6</v>
      </c>
      <c r="HD12" s="90">
        <f>1867.36+123.7</f>
        <v>1991.06</v>
      </c>
      <c r="HE12" s="90">
        <f t="shared" si="111"/>
        <v>646.05499999999995</v>
      </c>
      <c r="HF12" s="90">
        <f t="shared" si="112"/>
        <v>1</v>
      </c>
      <c r="HG12" s="90"/>
      <c r="HH12" s="90"/>
      <c r="HI12" s="90">
        <v>0.96</v>
      </c>
      <c r="HJ12" s="90">
        <f t="shared" si="113"/>
        <v>621.21600000000001</v>
      </c>
      <c r="HK12" s="90">
        <f t="shared" si="114"/>
        <v>1.0060732498840983</v>
      </c>
      <c r="HL12" s="90">
        <f t="shared" si="115"/>
        <v>651.03</v>
      </c>
      <c r="HM12" s="90">
        <v>1.07</v>
      </c>
      <c r="HN12" s="90">
        <f t="shared" si="116"/>
        <v>692.39700000000005</v>
      </c>
      <c r="HO12" s="90">
        <v>1.1499999999999999</v>
      </c>
      <c r="HP12" s="90">
        <f t="shared" si="117"/>
        <v>744.17</v>
      </c>
      <c r="HQ12" s="90">
        <v>1.1499999999999999</v>
      </c>
      <c r="HR12" s="90">
        <f t="shared" si="118"/>
        <v>744.17</v>
      </c>
      <c r="HS12" s="90">
        <v>0.31922099999999998</v>
      </c>
      <c r="HT12" s="90">
        <f t="shared" si="119"/>
        <v>206.56790909999998</v>
      </c>
      <c r="HU12" s="90" t="e">
        <f>HT12*#REF!</f>
        <v>#REF!</v>
      </c>
      <c r="HV12" s="90">
        <v>2.83</v>
      </c>
      <c r="HW12" s="100">
        <v>3.1</v>
      </c>
      <c r="HX12" s="90">
        <f t="shared" si="120"/>
        <v>2006.0100000000002</v>
      </c>
      <c r="HY12" s="90">
        <v>1.06</v>
      </c>
      <c r="HZ12" s="90">
        <f t="shared" si="121"/>
        <v>2126.3706000000002</v>
      </c>
      <c r="IA12" s="90">
        <f t="shared" si="122"/>
        <v>3.29</v>
      </c>
      <c r="IB12" s="90">
        <f t="shared" si="123"/>
        <v>3.45</v>
      </c>
      <c r="IC12" s="90">
        <f t="shared" si="124"/>
        <v>2232.4950000000003</v>
      </c>
      <c r="ID12" s="90">
        <f t="shared" si="125"/>
        <v>3.64</v>
      </c>
      <c r="IE12" s="90">
        <f t="shared" si="126"/>
        <v>2355.44</v>
      </c>
      <c r="IF12" s="90">
        <f t="shared" si="127"/>
        <v>3.64</v>
      </c>
      <c r="IG12" s="92">
        <f t="shared" si="128"/>
        <v>28265.279999999999</v>
      </c>
      <c r="IH12" s="90">
        <v>3.91</v>
      </c>
      <c r="II12" s="90">
        <f t="shared" si="129"/>
        <v>4.1100000000000003</v>
      </c>
      <c r="IJ12" s="90">
        <f t="shared" si="130"/>
        <v>2659.58</v>
      </c>
      <c r="IK12" s="90">
        <f t="shared" si="131"/>
        <v>4.1100000000000003</v>
      </c>
      <c r="IL12" s="90">
        <f t="shared" si="132"/>
        <v>2659.58</v>
      </c>
      <c r="IM12" s="90">
        <f t="shared" si="133"/>
        <v>4.1100000000000003</v>
      </c>
      <c r="IN12" s="90">
        <f t="shared" si="134"/>
        <v>2659.58</v>
      </c>
      <c r="IO12" s="90">
        <f t="shared" si="135"/>
        <v>4.1100000000000003</v>
      </c>
      <c r="IP12" s="93">
        <v>0.37052404126999999</v>
      </c>
      <c r="IQ12" s="90">
        <f t="shared" si="136"/>
        <v>191.81288568465362</v>
      </c>
      <c r="IR12" s="90">
        <f t="shared" si="137"/>
        <v>203.32165882573284</v>
      </c>
      <c r="IS12" s="90">
        <v>108693.96</v>
      </c>
      <c r="IT12" s="90">
        <v>3053.33</v>
      </c>
      <c r="IU12" s="94"/>
      <c r="IV12" s="94"/>
      <c r="IW12" s="94">
        <v>1.697699125</v>
      </c>
      <c r="IX12" s="90">
        <f t="shared" si="138"/>
        <v>878.8648830300001</v>
      </c>
      <c r="IY12" s="93">
        <v>0.56339614052999998</v>
      </c>
      <c r="IZ12" s="90">
        <f t="shared" si="139"/>
        <v>364.57364253696301</v>
      </c>
      <c r="JA12" s="90">
        <f t="shared" si="140"/>
        <v>382.07</v>
      </c>
      <c r="JB12" s="90">
        <f>JA12/($SP12-$HL12)*($SX12-$HN12)</f>
        <v>400.98227475316543</v>
      </c>
      <c r="JC12" s="90">
        <f t="shared" si="141"/>
        <v>403.08</v>
      </c>
      <c r="JD12" s="90">
        <f t="shared" si="142"/>
        <v>426.30728109261639</v>
      </c>
      <c r="JE12" s="90">
        <f t="shared" si="143"/>
        <v>426.30728109261639</v>
      </c>
      <c r="JF12" s="93">
        <v>4.2278943710000003E-2</v>
      </c>
      <c r="JG12" s="90">
        <f t="shared" si="144"/>
        <v>21.886963579792805</v>
      </c>
      <c r="JH12" s="90">
        <f t="shared" si="145"/>
        <v>23.200181394580376</v>
      </c>
      <c r="JI12" s="20">
        <v>462.98</v>
      </c>
      <c r="JJ12" s="20"/>
      <c r="JK12" s="20">
        <v>6.0564350000000003E-2</v>
      </c>
      <c r="JL12" s="90">
        <f t="shared" si="146"/>
        <v>31.352952708000004</v>
      </c>
      <c r="JM12" s="93">
        <v>6.7347080040000007E-2</v>
      </c>
      <c r="JN12" s="90">
        <f t="shared" si="147"/>
        <v>43.580295493884009</v>
      </c>
      <c r="JO12" s="90">
        <f t="shared" si="148"/>
        <v>45.67</v>
      </c>
      <c r="JP12" s="90">
        <f>JO12/($SP12-$HL12)*($SX12-$HN12)</f>
        <v>47.930642259211837</v>
      </c>
      <c r="JQ12" s="90">
        <f t="shared" si="149"/>
        <v>48.18</v>
      </c>
      <c r="JR12" s="90">
        <f t="shared" si="150"/>
        <v>50.95781801109689</v>
      </c>
      <c r="JS12" s="90">
        <f t="shared" si="151"/>
        <v>50.95781801109689</v>
      </c>
      <c r="JT12" s="93">
        <v>7.3220517000000002E-3</v>
      </c>
      <c r="JU12" s="90">
        <f t="shared" si="152"/>
        <v>3.7904797240560004</v>
      </c>
      <c r="JV12" s="90">
        <f t="shared" si="153"/>
        <v>3.97</v>
      </c>
      <c r="JW12" s="90">
        <f>JV12/($SP12-$HL12)*($SX12-$HN12)</f>
        <v>4.1665130231896432</v>
      </c>
      <c r="JX12" s="90">
        <f t="shared" si="154"/>
        <v>4.1900000000000004</v>
      </c>
      <c r="JY12" s="90">
        <f t="shared" si="155"/>
        <v>4.4296592402902277</v>
      </c>
      <c r="JZ12" s="90">
        <f t="shared" si="156"/>
        <v>4.4296592402902277</v>
      </c>
      <c r="KA12" s="90">
        <v>8.3091099999999998E-3</v>
      </c>
      <c r="KB12" s="90">
        <f t="shared" si="157"/>
        <v>4.3014600648000005</v>
      </c>
      <c r="KC12" s="90" t="e">
        <f>KB12*#REF!</f>
        <v>#REF!</v>
      </c>
      <c r="KD12" s="90">
        <v>34406.519999999997</v>
      </c>
      <c r="KE12" s="90">
        <v>40292.97</v>
      </c>
      <c r="KF12" s="90"/>
      <c r="KG12" s="90">
        <f t="shared" si="158"/>
        <v>757.80930146379239</v>
      </c>
      <c r="KH12" s="90" t="e">
        <f>KG12/(BW12+#REF!)*(CB12+#REF!)</f>
        <v>#REF!</v>
      </c>
      <c r="KI12" s="90">
        <v>0.8</v>
      </c>
      <c r="KJ12" s="94"/>
      <c r="KK12" s="90">
        <f t="shared" si="159"/>
        <v>0</v>
      </c>
      <c r="KL12" s="93">
        <v>1.1147001000000001</v>
      </c>
      <c r="KM12" s="90">
        <f t="shared" si="160"/>
        <v>721.32243471000004</v>
      </c>
      <c r="KN12" s="90">
        <f t="shared" si="161"/>
        <v>764.60178079260004</v>
      </c>
      <c r="KO12" s="90" t="e">
        <f>BW12+CN12+DC12+DS12+EG12+EV12+FK12+GB12+#REF!+#REF!+HJ12+HX12+IQ12+JG12+JU12+KK12+KM12</f>
        <v>#REF!</v>
      </c>
      <c r="KP12" s="90"/>
      <c r="KQ12" s="90">
        <v>0.50814739200000003</v>
      </c>
      <c r="KR12" s="90">
        <f t="shared" si="162"/>
        <v>328.82217736320001</v>
      </c>
      <c r="KS12" s="90">
        <v>0.71072749999999996</v>
      </c>
      <c r="KT12" s="90">
        <f t="shared" si="163"/>
        <v>233.70296406190371</v>
      </c>
      <c r="KU12" s="90">
        <f t="shared" si="164"/>
        <v>353.38826906462333</v>
      </c>
      <c r="KV12" s="90">
        <f t="shared" si="165"/>
        <v>370.35</v>
      </c>
      <c r="KW12" s="90">
        <f>KV12/($SP12-$HL12)*($SX12-$HN12)</f>
        <v>388.68214058898849</v>
      </c>
      <c r="KX12" s="90">
        <f t="shared" si="166"/>
        <v>390.72</v>
      </c>
      <c r="KY12" s="90">
        <f t="shared" si="167"/>
        <v>413.23030217669663</v>
      </c>
      <c r="KZ12" s="90">
        <f t="shared" si="168"/>
        <v>413.23030217669663</v>
      </c>
      <c r="LA12" s="90">
        <f t="shared" si="169"/>
        <v>2536.6299999999997</v>
      </c>
      <c r="LB12" s="90">
        <f t="shared" si="170"/>
        <v>3.92</v>
      </c>
      <c r="LC12" s="92">
        <f t="shared" si="171"/>
        <v>30439.559999999998</v>
      </c>
      <c r="LD12" s="92">
        <v>4.21</v>
      </c>
      <c r="LE12" s="92">
        <v>2724.29</v>
      </c>
      <c r="LF12" s="90">
        <f t="shared" si="172"/>
        <v>4.18</v>
      </c>
      <c r="LG12" s="90">
        <f t="shared" si="173"/>
        <v>2704.88</v>
      </c>
      <c r="LH12" s="90">
        <f t="shared" si="174"/>
        <v>2726.8772499999995</v>
      </c>
      <c r="LI12" s="90">
        <f t="shared" si="175"/>
        <v>4.21</v>
      </c>
      <c r="LJ12" s="90">
        <f t="shared" si="176"/>
        <v>2704.8800000000006</v>
      </c>
      <c r="LK12" s="90">
        <f t="shared" si="177"/>
        <v>4.18</v>
      </c>
      <c r="LL12" s="90">
        <f t="shared" si="178"/>
        <v>2704.8800000000006</v>
      </c>
      <c r="LM12" s="90">
        <f t="shared" si="179"/>
        <v>4.18</v>
      </c>
      <c r="LN12" s="95">
        <v>0.46</v>
      </c>
      <c r="LO12" s="95">
        <f t="shared" si="180"/>
        <v>297.67</v>
      </c>
      <c r="LP12" s="95"/>
      <c r="LQ12" s="95">
        <f t="shared" si="181"/>
        <v>0</v>
      </c>
      <c r="LR12" s="90"/>
      <c r="LS12" s="90"/>
      <c r="LT12" s="90">
        <f t="shared" si="182"/>
        <v>0</v>
      </c>
      <c r="LU12" s="90"/>
      <c r="LV12" s="90">
        <f t="shared" si="183"/>
        <v>0</v>
      </c>
      <c r="LW12" s="90">
        <f t="shared" si="184"/>
        <v>0</v>
      </c>
      <c r="LX12" s="90"/>
      <c r="LY12" s="90"/>
      <c r="LZ12" s="90">
        <f t="shared" si="185"/>
        <v>0</v>
      </c>
      <c r="MA12" s="90"/>
      <c r="MB12" s="90">
        <f t="shared" si="186"/>
        <v>0</v>
      </c>
      <c r="MC12" s="90">
        <f t="shared" si="187"/>
        <v>0</v>
      </c>
      <c r="MD12" s="90"/>
      <c r="ME12" s="90"/>
      <c r="MF12" s="90">
        <f t="shared" si="188"/>
        <v>0</v>
      </c>
      <c r="MG12" s="90"/>
      <c r="MH12" s="90">
        <f t="shared" si="189"/>
        <v>0</v>
      </c>
      <c r="MI12" s="90">
        <f t="shared" si="190"/>
        <v>0</v>
      </c>
      <c r="MJ12" s="90"/>
      <c r="MK12" s="90"/>
      <c r="ML12" s="90">
        <f t="shared" si="191"/>
        <v>0</v>
      </c>
      <c r="MM12" s="90"/>
      <c r="MN12" s="90">
        <f t="shared" si="192"/>
        <v>0</v>
      </c>
      <c r="MO12" s="90">
        <f t="shared" si="193"/>
        <v>0</v>
      </c>
      <c r="MP12" s="90">
        <f t="shared" si="194"/>
        <v>0</v>
      </c>
      <c r="MQ12" s="90">
        <f t="shared" si="195"/>
        <v>0</v>
      </c>
      <c r="MR12" s="90">
        <f t="shared" si="196"/>
        <v>0</v>
      </c>
      <c r="MS12" s="90">
        <f t="shared" si="197"/>
        <v>0</v>
      </c>
      <c r="MT12" s="95"/>
      <c r="MU12" s="95">
        <f t="shared" si="198"/>
        <v>0</v>
      </c>
      <c r="MV12" s="92">
        <f t="shared" si="199"/>
        <v>0</v>
      </c>
      <c r="MW12" s="95"/>
      <c r="MX12" s="95">
        <f t="shared" si="200"/>
        <v>0</v>
      </c>
      <c r="MY12" s="95"/>
      <c r="MZ12" s="95">
        <f t="shared" si="201"/>
        <v>0</v>
      </c>
      <c r="NA12" s="95"/>
      <c r="NB12" s="95">
        <f t="shared" si="202"/>
        <v>0</v>
      </c>
      <c r="NC12" s="92">
        <f t="shared" si="203"/>
        <v>0</v>
      </c>
      <c r="ND12" s="95"/>
      <c r="NE12" s="95">
        <f t="shared" si="204"/>
        <v>0</v>
      </c>
      <c r="NF12" s="95"/>
      <c r="NG12" s="95">
        <f t="shared" si="205"/>
        <v>0</v>
      </c>
      <c r="NH12" s="95"/>
      <c r="NI12" s="95"/>
      <c r="NJ12" s="95">
        <f t="shared" si="206"/>
        <v>0</v>
      </c>
      <c r="NK12" s="92">
        <f t="shared" si="207"/>
        <v>0</v>
      </c>
      <c r="NL12" s="95"/>
      <c r="NM12" s="95">
        <f t="shared" si="208"/>
        <v>0</v>
      </c>
      <c r="NN12" s="95"/>
      <c r="NO12" s="95">
        <f t="shared" si="209"/>
        <v>0</v>
      </c>
      <c r="NP12" s="95"/>
      <c r="NQ12" s="95">
        <f t="shared" si="210"/>
        <v>0</v>
      </c>
      <c r="NR12" s="92">
        <f t="shared" si="211"/>
        <v>0</v>
      </c>
      <c r="NS12" s="95"/>
      <c r="NT12" s="95">
        <f t="shared" si="212"/>
        <v>0</v>
      </c>
      <c r="NU12" s="95"/>
      <c r="NV12" s="95">
        <f t="shared" si="213"/>
        <v>0</v>
      </c>
      <c r="NW12" s="95"/>
      <c r="NX12" s="95">
        <f t="shared" si="214"/>
        <v>0</v>
      </c>
      <c r="NY12" s="92">
        <f t="shared" si="215"/>
        <v>0</v>
      </c>
      <c r="NZ12" s="95"/>
      <c r="OA12" s="95">
        <f t="shared" si="216"/>
        <v>0</v>
      </c>
      <c r="OB12" s="95"/>
      <c r="OC12" s="95">
        <f t="shared" si="217"/>
        <v>0</v>
      </c>
      <c r="OD12" s="90">
        <v>3131.96</v>
      </c>
      <c r="OE12" s="90">
        <f t="shared" si="218"/>
        <v>4.84</v>
      </c>
      <c r="OF12" s="92">
        <f t="shared" si="219"/>
        <v>37583.520000000004</v>
      </c>
      <c r="OG12" s="96">
        <v>1108.78</v>
      </c>
      <c r="OH12" s="96">
        <v>1.71</v>
      </c>
      <c r="OI12" s="90">
        <v>4238.51</v>
      </c>
      <c r="OJ12" s="90">
        <f t="shared" si="220"/>
        <v>6.55</v>
      </c>
      <c r="OK12" s="90">
        <f t="shared" si="221"/>
        <v>4240.74</v>
      </c>
      <c r="OL12" s="90">
        <f t="shared" si="222"/>
        <v>6.55</v>
      </c>
      <c r="OM12" s="90">
        <f t="shared" si="223"/>
        <v>0</v>
      </c>
      <c r="ON12" s="90">
        <v>3131.96</v>
      </c>
      <c r="OO12" s="90">
        <f t="shared" si="224"/>
        <v>4.84</v>
      </c>
      <c r="OP12" s="90">
        <v>3129.7300000000005</v>
      </c>
      <c r="OQ12" s="90">
        <v>4.84</v>
      </c>
      <c r="OR12" s="90">
        <f t="shared" si="225"/>
        <v>0</v>
      </c>
      <c r="OS12" s="90">
        <f t="shared" si="226"/>
        <v>4.84</v>
      </c>
      <c r="OT12" s="90">
        <v>3131.96</v>
      </c>
      <c r="OU12" s="90">
        <f t="shared" si="227"/>
        <v>4.84</v>
      </c>
      <c r="OV12" s="97">
        <v>2484.86</v>
      </c>
      <c r="OW12" s="90">
        <f t="shared" si="228"/>
        <v>2484.86</v>
      </c>
      <c r="OX12" s="90">
        <f t="shared" si="229"/>
        <v>3.84</v>
      </c>
      <c r="OY12" s="90">
        <f>OU12-1</f>
        <v>3.84</v>
      </c>
      <c r="OZ12" s="90"/>
      <c r="PA12" s="90"/>
      <c r="PB12" s="95">
        <f t="shared" si="230"/>
        <v>0</v>
      </c>
      <c r="PC12" s="92">
        <f t="shared" si="231"/>
        <v>0</v>
      </c>
      <c r="PD12" s="90"/>
      <c r="PE12" s="95">
        <f t="shared" si="232"/>
        <v>0</v>
      </c>
      <c r="PF12" s="90">
        <f t="shared" si="233"/>
        <v>9589.5600000000013</v>
      </c>
      <c r="PG12" s="90">
        <f t="shared" si="234"/>
        <v>14.82</v>
      </c>
      <c r="PH12" s="90">
        <f t="shared" si="235"/>
        <v>11189.935000000001</v>
      </c>
      <c r="PI12" s="90">
        <f t="shared" si="236"/>
        <v>17.29</v>
      </c>
      <c r="PJ12" s="90">
        <f t="shared" si="237"/>
        <v>11189.935000000001</v>
      </c>
      <c r="PK12" s="90">
        <f t="shared" si="238"/>
        <v>17.29</v>
      </c>
      <c r="PL12" s="90"/>
      <c r="PM12" s="90">
        <f t="shared" si="239"/>
        <v>287.69</v>
      </c>
      <c r="PN12" s="90">
        <f t="shared" si="240"/>
        <v>0.44</v>
      </c>
      <c r="PO12" s="92">
        <f t="shared" si="241"/>
        <v>3452.2799999999997</v>
      </c>
      <c r="PP12" s="90">
        <f t="shared" si="242"/>
        <v>335.7</v>
      </c>
      <c r="PQ12" s="90">
        <f t="shared" si="243"/>
        <v>0.52</v>
      </c>
      <c r="PR12" s="90">
        <f t="shared" si="244"/>
        <v>335.7</v>
      </c>
      <c r="PS12" s="90">
        <f t="shared" si="245"/>
        <v>0.52</v>
      </c>
      <c r="PT12" s="90">
        <f t="shared" si="246"/>
        <v>9877.2500000000018</v>
      </c>
      <c r="PU12" s="90">
        <f t="shared" si="247"/>
        <v>15.26</v>
      </c>
      <c r="PV12" s="90">
        <f t="shared" si="248"/>
        <v>11525.635000000002</v>
      </c>
      <c r="PW12" s="90">
        <f t="shared" si="249"/>
        <v>17.809999999999999</v>
      </c>
      <c r="PX12" s="90">
        <f t="shared" si="250"/>
        <v>11525.635000000002</v>
      </c>
      <c r="PY12" s="90">
        <f t="shared" si="251"/>
        <v>17.809999999999999</v>
      </c>
      <c r="PZ12" s="90">
        <f t="shared" si="252"/>
        <v>99.77</v>
      </c>
      <c r="QA12" s="90">
        <f t="shared" si="253"/>
        <v>0.15</v>
      </c>
      <c r="QB12" s="92">
        <f t="shared" si="254"/>
        <v>1197.24</v>
      </c>
      <c r="QC12" s="90">
        <f t="shared" si="255"/>
        <v>116.42</v>
      </c>
      <c r="QD12" s="90">
        <f t="shared" si="256"/>
        <v>0.18</v>
      </c>
      <c r="QE12" s="90">
        <f t="shared" si="257"/>
        <v>116.42</v>
      </c>
      <c r="QF12" s="90">
        <f t="shared" si="258"/>
        <v>0.18</v>
      </c>
      <c r="QG12" s="90">
        <f t="shared" si="259"/>
        <v>9977.0200000000023</v>
      </c>
      <c r="QH12" s="90">
        <f t="shared" si="260"/>
        <v>15.42</v>
      </c>
      <c r="QI12" s="92">
        <f t="shared" si="261"/>
        <v>119724.24000000002</v>
      </c>
      <c r="QJ12" s="90">
        <f t="shared" si="262"/>
        <v>404.1021405889885</v>
      </c>
      <c r="QK12" s="98">
        <f t="shared" si="263"/>
        <v>0.25169999999999998</v>
      </c>
      <c r="QL12" s="90">
        <f t="shared" si="264"/>
        <v>162.87506999999999</v>
      </c>
      <c r="QM12" s="90">
        <f t="shared" si="265"/>
        <v>0.1128</v>
      </c>
      <c r="QN12" s="90">
        <f t="shared" si="266"/>
        <v>72.99288</v>
      </c>
      <c r="QO12" s="90">
        <v>0.21869999999999998</v>
      </c>
      <c r="QP12" s="90">
        <v>0.14579999999999999</v>
      </c>
      <c r="QQ12" s="97">
        <f t="shared" si="267"/>
        <v>235.86795000000001</v>
      </c>
      <c r="QR12" s="97">
        <v>236.37824999999998</v>
      </c>
      <c r="QS12" s="97">
        <f t="shared" si="268"/>
        <v>-0.51029999999997244</v>
      </c>
      <c r="QT12" s="90"/>
      <c r="QU12" s="90">
        <f t="shared" si="269"/>
        <v>0.1128</v>
      </c>
      <c r="QV12" s="90">
        <f t="shared" si="270"/>
        <v>72.99288</v>
      </c>
      <c r="QW12" s="90">
        <f t="shared" si="271"/>
        <v>235.86795000000001</v>
      </c>
      <c r="QX12" s="90">
        <f t="shared" si="272"/>
        <v>0.36449999999999999</v>
      </c>
      <c r="QY12" s="90"/>
      <c r="QZ12" s="90"/>
      <c r="RA12" s="90"/>
      <c r="RB12" s="90">
        <v>2407.5700000000002</v>
      </c>
      <c r="RC12" s="97">
        <f t="shared" si="273"/>
        <v>9977.0200000000023</v>
      </c>
      <c r="RD12" s="97">
        <f t="shared" si="274"/>
        <v>15.42</v>
      </c>
      <c r="RE12" s="90">
        <f t="shared" si="275"/>
        <v>11642.055000000002</v>
      </c>
      <c r="RF12" s="90">
        <f t="shared" si="276"/>
        <v>17.989999999999998</v>
      </c>
      <c r="RG12" s="90">
        <f t="shared" si="277"/>
        <v>116.74237508111615</v>
      </c>
      <c r="RH12" s="90">
        <f t="shared" si="278"/>
        <v>11642.055000000002</v>
      </c>
      <c r="RI12" s="90">
        <f t="shared" si="279"/>
        <v>17.989999999999998</v>
      </c>
      <c r="RJ12" s="90">
        <v>17.680000000000003</v>
      </c>
      <c r="RK12" s="90">
        <v>0</v>
      </c>
      <c r="RL12" s="90">
        <f t="shared" si="280"/>
        <v>0.30999999999999517</v>
      </c>
      <c r="RM12" s="90">
        <f t="shared" si="281"/>
        <v>106.4497041420118</v>
      </c>
      <c r="RN12" s="90">
        <f t="shared" si="282"/>
        <v>6616.65</v>
      </c>
      <c r="RO12" s="90"/>
      <c r="RP12" s="90"/>
      <c r="RQ12" s="99">
        <v>381</v>
      </c>
      <c r="RR12" s="90">
        <f t="shared" si="283"/>
        <v>6845.06</v>
      </c>
      <c r="RS12" s="90">
        <f t="shared" si="284"/>
        <v>10.578055941894608</v>
      </c>
      <c r="RT12" s="90">
        <v>11.28</v>
      </c>
      <c r="RU12" s="90">
        <f t="shared" si="285"/>
        <v>7299.2879999999996</v>
      </c>
      <c r="RV12" s="90">
        <f t="shared" si="286"/>
        <v>0.62448175025342068</v>
      </c>
      <c r="RW12" s="100">
        <v>10.43</v>
      </c>
      <c r="RX12" s="90">
        <f t="shared" si="287"/>
        <v>10.951499999999999</v>
      </c>
      <c r="RY12" s="90">
        <f t="shared" si="288"/>
        <v>7086.7156500000001</v>
      </c>
      <c r="RZ12" s="90">
        <f t="shared" si="289"/>
        <v>1869.6284659350388</v>
      </c>
      <c r="SA12" s="90">
        <f t="shared" si="290"/>
        <v>836.46804818013561</v>
      </c>
      <c r="SB12" s="90">
        <f t="shared" si="291"/>
        <v>1264.8448720399774</v>
      </c>
      <c r="SC12" s="90">
        <f t="shared" si="292"/>
        <v>2298.0052897948808</v>
      </c>
      <c r="SD12" s="90">
        <f t="shared" si="293"/>
        <v>2298.0052897948804</v>
      </c>
      <c r="SE12" s="90">
        <f t="shared" si="294"/>
        <v>2332.6131918883329</v>
      </c>
      <c r="SF12" s="90">
        <f t="shared" si="295"/>
        <v>2297.872539859573</v>
      </c>
      <c r="SG12" s="90">
        <f t="shared" si="296"/>
        <v>0.1327499353078565</v>
      </c>
      <c r="SH12" s="90">
        <f t="shared" si="297"/>
        <v>2298.0052895773333</v>
      </c>
      <c r="SI12" s="90">
        <f t="shared" si="298"/>
        <v>3.5512367328000005</v>
      </c>
      <c r="SJ12" s="90">
        <f t="shared" si="299"/>
        <v>3.5510315868638123</v>
      </c>
      <c r="SK12" s="90"/>
      <c r="SL12" s="90"/>
      <c r="SM12" s="90"/>
      <c r="SN12" s="90">
        <f t="shared" si="300"/>
        <v>2460.2199999999993</v>
      </c>
      <c r="SO12" s="90" t="e">
        <f>RU12-#REF!-#REF!-HZ12-LT12-LZ12-MF12-ML12-QL12-QN12-SD12</f>
        <v>#REF!</v>
      </c>
      <c r="SP12" s="90">
        <f t="shared" si="301"/>
        <v>2408.2800000000002</v>
      </c>
      <c r="SQ12" s="90">
        <f t="shared" si="302"/>
        <v>2536.6299999999997</v>
      </c>
      <c r="SR12" s="90">
        <f t="shared" si="303"/>
        <v>3.7216504404265183</v>
      </c>
      <c r="SS12" s="90">
        <f t="shared" si="304"/>
        <v>3.9199969092875899</v>
      </c>
      <c r="ST12" s="90">
        <f t="shared" si="305"/>
        <v>2546.2969999999996</v>
      </c>
      <c r="SU12" s="90">
        <v>3.7217035090431292</v>
      </c>
      <c r="SV12" s="90">
        <f t="shared" si="306"/>
        <v>3.93</v>
      </c>
      <c r="SW12" s="90">
        <v>3.92</v>
      </c>
      <c r="SX12" s="90">
        <f t="shared" si="307"/>
        <v>2536.63</v>
      </c>
      <c r="SY12" s="90">
        <v>3.7216962220508871</v>
      </c>
      <c r="SZ12" s="90">
        <f t="shared" si="308"/>
        <v>2408.3096252891291</v>
      </c>
      <c r="TA12" s="90">
        <f t="shared" si="309"/>
        <v>2.9625289128944132E-2</v>
      </c>
      <c r="TB12" s="90">
        <v>0</v>
      </c>
      <c r="TC12" s="90">
        <f t="shared" si="310"/>
        <v>1125.9150499999996</v>
      </c>
      <c r="TD12" s="90" t="e">
        <f>#REF!+#REF!</f>
        <v>#REF!</v>
      </c>
      <c r="TE12" s="90" t="e">
        <f t="shared" si="311"/>
        <v>#REF!</v>
      </c>
      <c r="TF12" s="90">
        <v>1033.5086166666661</v>
      </c>
      <c r="TG12" s="90">
        <f t="shared" si="312"/>
        <v>15.424998301204168</v>
      </c>
      <c r="TH12" s="95"/>
      <c r="TI12" s="95"/>
      <c r="TJ12" s="95"/>
      <c r="TK12" s="95"/>
      <c r="TL12" s="95"/>
      <c r="TM12" s="95">
        <f t="shared" si="313"/>
        <v>0</v>
      </c>
      <c r="TN12" s="95">
        <f t="shared" si="314"/>
        <v>7299.2879999999996</v>
      </c>
      <c r="TO12" s="95">
        <f t="shared" si="315"/>
        <v>15.424998301204168</v>
      </c>
      <c r="TP12" s="95"/>
      <c r="TQ12" s="95">
        <f t="shared" si="316"/>
        <v>11.28</v>
      </c>
      <c r="TR12" s="95"/>
      <c r="TS12" s="95"/>
      <c r="TT12" s="95"/>
      <c r="TU12" s="95"/>
      <c r="TV12" s="95"/>
      <c r="TW12" s="95"/>
      <c r="TX12" s="95"/>
      <c r="TY12" s="95"/>
      <c r="TZ12" s="95">
        <f t="shared" si="317"/>
        <v>3.2313829787234045</v>
      </c>
      <c r="UA12" s="95">
        <f t="shared" si="318"/>
        <v>0.49632000000000004</v>
      </c>
      <c r="UB12" s="90">
        <v>0</v>
      </c>
      <c r="UC12" s="90">
        <f t="shared" si="319"/>
        <v>0</v>
      </c>
      <c r="UD12" s="90">
        <f t="shared" si="320"/>
        <v>0</v>
      </c>
      <c r="UE12" s="90">
        <f t="shared" si="321"/>
        <v>0</v>
      </c>
      <c r="UF12" s="90">
        <f t="shared" si="322"/>
        <v>7299.2879999999996</v>
      </c>
      <c r="UG12" s="91">
        <f t="shared" si="323"/>
        <v>0</v>
      </c>
      <c r="UH12" s="95">
        <f t="shared" si="324"/>
        <v>15.424998301204168</v>
      </c>
      <c r="UI12" s="95">
        <f t="shared" si="325"/>
        <v>7299.2879999999996</v>
      </c>
      <c r="UJ12" s="101">
        <f t="shared" si="326"/>
        <v>0</v>
      </c>
      <c r="UK12" s="101">
        <f t="shared" si="327"/>
        <v>15.424998301204168</v>
      </c>
      <c r="UL12" s="90" t="e">
        <f>(#REF!+#REF!+HZ12+LT12+LZ12+MF12+ML12+QL12+QN12+SN12+TC12+TM12+UC12)/I12</f>
        <v>#REF!</v>
      </c>
      <c r="UN12" s="90" t="e">
        <f>#REF!/I12</f>
        <v>#REF!</v>
      </c>
      <c r="UO12" s="90" t="e">
        <f>#REF!/I12</f>
        <v>#REF!</v>
      </c>
      <c r="UP12" s="90">
        <v>1.1499999999999999</v>
      </c>
      <c r="UQ12" s="90" t="e">
        <f t="shared" si="328"/>
        <v>#REF!</v>
      </c>
      <c r="UR12" s="90">
        <f t="shared" si="329"/>
        <v>6845.06</v>
      </c>
      <c r="US12" s="90">
        <f t="shared" si="330"/>
        <v>8638.086666666668</v>
      </c>
      <c r="UT12" s="90">
        <f t="shared" si="331"/>
        <v>8638.086666666668</v>
      </c>
      <c r="UU12" s="90">
        <f t="shared" si="332"/>
        <v>8935.756666666668</v>
      </c>
      <c r="UV12" s="90">
        <f t="shared" si="333"/>
        <v>8859.5250000000015</v>
      </c>
      <c r="UW12" s="90">
        <f t="shared" si="334"/>
        <v>6.34</v>
      </c>
      <c r="UX12" s="90">
        <f t="shared" si="335"/>
        <v>3.92</v>
      </c>
      <c r="UY12" s="90">
        <f t="shared" si="336"/>
        <v>3.8019162416937093</v>
      </c>
      <c r="UZ12" s="100">
        <f t="shared" si="337"/>
        <v>3.5512367328000005</v>
      </c>
      <c r="VA12" s="90">
        <f t="shared" si="338"/>
        <v>0.71</v>
      </c>
      <c r="VB12" s="90">
        <f t="shared" si="339"/>
        <v>1.71</v>
      </c>
      <c r="VC12" s="90">
        <f t="shared" si="340"/>
        <v>0</v>
      </c>
      <c r="VD12" s="90">
        <f t="shared" si="341"/>
        <v>0</v>
      </c>
      <c r="VE12" s="90">
        <f t="shared" si="342"/>
        <v>0</v>
      </c>
      <c r="VF12" s="90">
        <f t="shared" si="343"/>
        <v>0</v>
      </c>
      <c r="VG12" s="90">
        <f t="shared" si="344"/>
        <v>0</v>
      </c>
      <c r="VH12" s="90">
        <f t="shared" si="345"/>
        <v>0</v>
      </c>
      <c r="VI12" s="90">
        <f t="shared" si="346"/>
        <v>0</v>
      </c>
      <c r="VJ12" s="90">
        <f t="shared" si="347"/>
        <v>0</v>
      </c>
      <c r="VK12" s="90">
        <f t="shared" si="348"/>
        <v>0.66</v>
      </c>
      <c r="VL12" s="90">
        <f t="shared" si="349"/>
        <v>3.64</v>
      </c>
      <c r="VM12" s="90">
        <f t="shared" si="350"/>
        <v>4.84</v>
      </c>
      <c r="VN12" s="90">
        <f t="shared" si="351"/>
        <v>0</v>
      </c>
      <c r="VO12" s="90">
        <f t="shared" si="352"/>
        <v>4.84</v>
      </c>
      <c r="VP12" s="97">
        <v>0</v>
      </c>
      <c r="VQ12" s="97">
        <v>4.84</v>
      </c>
      <c r="VR12" s="90">
        <f t="shared" si="353"/>
        <v>0.44</v>
      </c>
      <c r="VS12" s="90">
        <f t="shared" si="354"/>
        <v>0.15</v>
      </c>
      <c r="VT12" s="90">
        <v>0.11989898989898991</v>
      </c>
      <c r="VU12" s="90">
        <f t="shared" si="355"/>
        <v>0.15410000000000001</v>
      </c>
      <c r="VV12" s="90">
        <v>0.38175323599898991</v>
      </c>
      <c r="VW12" s="90">
        <f t="shared" si="356"/>
        <v>0.59</v>
      </c>
      <c r="VX12" s="90">
        <f t="shared" si="357"/>
        <v>15.41</v>
      </c>
      <c r="VY12" s="90">
        <f t="shared" si="358"/>
        <v>15.41</v>
      </c>
      <c r="VZ12" s="90">
        <f t="shared" si="359"/>
        <v>0</v>
      </c>
      <c r="WA12" s="90"/>
      <c r="WB12" s="90">
        <f t="shared" si="360"/>
        <v>15.41</v>
      </c>
      <c r="WC12" s="90">
        <f t="shared" si="361"/>
        <v>0</v>
      </c>
      <c r="WD12" s="90"/>
      <c r="WE12" s="90">
        <v>15.41</v>
      </c>
      <c r="WF12" s="90"/>
      <c r="WG12" s="90">
        <f t="shared" si="362"/>
        <v>9971.8109999999997</v>
      </c>
      <c r="WH12" s="90">
        <f t="shared" si="363"/>
        <v>9971.8109999999997</v>
      </c>
      <c r="WI12" s="90">
        <f t="shared" si="364"/>
        <v>9977.0200000000023</v>
      </c>
      <c r="WJ12" s="90">
        <f t="shared" si="365"/>
        <v>6845.06</v>
      </c>
      <c r="WK12" s="97">
        <v>3131</v>
      </c>
      <c r="WL12" s="97">
        <v>4.84</v>
      </c>
      <c r="WM12" s="90">
        <f t="shared" si="366"/>
        <v>3131.96</v>
      </c>
      <c r="WN12" s="90">
        <f t="shared" si="367"/>
        <v>4.84</v>
      </c>
      <c r="WO12" s="90"/>
      <c r="WP12" s="97">
        <v>15.41</v>
      </c>
      <c r="WQ12" s="90">
        <f t="shared" si="368"/>
        <v>15.41</v>
      </c>
      <c r="WR12" s="91">
        <f t="shared" si="369"/>
        <v>136.61347517730496</v>
      </c>
      <c r="WS12" s="91">
        <f t="shared" si="370"/>
        <v>136.61347517730496</v>
      </c>
      <c r="WT12" s="90">
        <f t="shared" si="371"/>
        <v>9971.81</v>
      </c>
      <c r="WU12" s="90">
        <f t="shared" si="372"/>
        <v>9977.0200000000023</v>
      </c>
      <c r="WV12" s="90">
        <f t="shared" si="373"/>
        <v>-5.2100000000027649</v>
      </c>
      <c r="WW12" s="90"/>
      <c r="WX12" s="90"/>
      <c r="WY12" s="90"/>
      <c r="WZ12" s="90">
        <f t="shared" si="374"/>
        <v>1.4619959595959595</v>
      </c>
      <c r="XA12" s="90">
        <v>0</v>
      </c>
      <c r="XB12" s="90">
        <f t="shared" si="375"/>
        <v>1.4619959595959595</v>
      </c>
      <c r="XC12" s="90">
        <f t="shared" si="376"/>
        <v>0.35759999999999997</v>
      </c>
      <c r="XD12" s="90">
        <f t="shared" si="377"/>
        <v>0.1204040404040404</v>
      </c>
      <c r="XE12" s="90"/>
      <c r="XF12" s="90">
        <f t="shared" si="378"/>
        <v>11.92</v>
      </c>
      <c r="XG12" s="90">
        <v>1.5976327356108613</v>
      </c>
      <c r="XH12" s="20">
        <v>11.28</v>
      </c>
      <c r="XI12" s="20">
        <v>0</v>
      </c>
      <c r="XJ12" s="20"/>
      <c r="XK12" s="20"/>
      <c r="XL12" s="20"/>
      <c r="XM12" s="20">
        <f t="shared" si="379"/>
        <v>11.28</v>
      </c>
      <c r="XN12" s="91">
        <f t="shared" si="380"/>
        <v>136.61347517730496</v>
      </c>
      <c r="XO12" s="20">
        <f t="shared" si="381"/>
        <v>11.28</v>
      </c>
      <c r="XP12" s="90">
        <f t="shared" si="382"/>
        <v>11.28</v>
      </c>
      <c r="XQ12" s="91">
        <f t="shared" si="383"/>
        <v>136.61347517730496</v>
      </c>
      <c r="XR12" s="102"/>
      <c r="XS12" s="90">
        <f t="shared" si="384"/>
        <v>3.64</v>
      </c>
      <c r="XT12" s="90">
        <f t="shared" si="385"/>
        <v>6.34</v>
      </c>
      <c r="XU12" s="90">
        <f t="shared" si="386"/>
        <v>3.92</v>
      </c>
      <c r="XV12" s="90">
        <f t="shared" si="387"/>
        <v>0.71</v>
      </c>
      <c r="XW12" s="90">
        <f t="shared" si="388"/>
        <v>0.71</v>
      </c>
      <c r="XX12" s="90">
        <f t="shared" si="389"/>
        <v>0</v>
      </c>
      <c r="XY12" s="90">
        <f t="shared" si="390"/>
        <v>1.71</v>
      </c>
      <c r="XZ12" s="90">
        <f t="shared" si="391"/>
        <v>0</v>
      </c>
      <c r="YA12" s="90">
        <f t="shared" si="392"/>
        <v>0</v>
      </c>
      <c r="YB12" s="90">
        <f t="shared" si="393"/>
        <v>0</v>
      </c>
      <c r="YC12" s="90">
        <f t="shared" si="393"/>
        <v>0</v>
      </c>
      <c r="YD12" s="90">
        <f t="shared" si="394"/>
        <v>1.71</v>
      </c>
      <c r="YE12" s="90">
        <f t="shared" si="395"/>
        <v>4.84</v>
      </c>
      <c r="YF12" s="90">
        <f t="shared" si="396"/>
        <v>0.59</v>
      </c>
      <c r="YG12" s="90">
        <f t="shared" si="397"/>
        <v>15.41</v>
      </c>
      <c r="YI12" s="103" t="s">
        <v>439</v>
      </c>
      <c r="YK12" s="90">
        <f t="shared" si="398"/>
        <v>1.07</v>
      </c>
      <c r="YL12" s="90">
        <f t="shared" si="399"/>
        <v>0.71</v>
      </c>
      <c r="YM12" s="90">
        <f t="shared" si="399"/>
        <v>1.71</v>
      </c>
      <c r="YN12" s="90">
        <f t="shared" si="400"/>
        <v>3.64</v>
      </c>
      <c r="YO12" s="90">
        <f t="shared" si="401"/>
        <v>8.2799999999999994</v>
      </c>
      <c r="YP12" s="90">
        <f t="shared" si="402"/>
        <v>0</v>
      </c>
      <c r="YQ12" s="90">
        <f t="shared" si="403"/>
        <v>15.41</v>
      </c>
      <c r="YR12" s="90">
        <f t="shared" si="404"/>
        <v>0</v>
      </c>
      <c r="YS12" s="104">
        <f t="shared" si="405"/>
        <v>15.41</v>
      </c>
      <c r="YT12" s="104">
        <f t="shared" si="406"/>
        <v>0</v>
      </c>
      <c r="YY12" s="90">
        <f t="shared" si="407"/>
        <v>8.5399999999999991</v>
      </c>
      <c r="YZ12" s="90">
        <f t="shared" si="408"/>
        <v>4.18</v>
      </c>
      <c r="ZA12" s="90">
        <f t="shared" si="409"/>
        <v>0.66</v>
      </c>
      <c r="ZB12" s="90">
        <f t="shared" si="410"/>
        <v>3.7</v>
      </c>
      <c r="ZC12" s="90">
        <f t="shared" si="411"/>
        <v>0</v>
      </c>
      <c r="ZD12" s="90">
        <f t="shared" si="412"/>
        <v>0</v>
      </c>
      <c r="ZE12" s="90">
        <f t="shared" si="413"/>
        <v>0</v>
      </c>
      <c r="ZF12" s="90">
        <f t="shared" si="414"/>
        <v>0</v>
      </c>
      <c r="ZG12" s="90">
        <f t="shared" si="415"/>
        <v>0</v>
      </c>
      <c r="ZH12" s="90">
        <f t="shared" si="416"/>
        <v>0</v>
      </c>
      <c r="ZI12" s="90">
        <f t="shared" si="417"/>
        <v>0</v>
      </c>
      <c r="ZJ12" s="90">
        <f t="shared" si="418"/>
        <v>0</v>
      </c>
      <c r="ZK12" s="90">
        <f t="shared" si="419"/>
        <v>0</v>
      </c>
      <c r="ZL12" s="90">
        <f t="shared" si="420"/>
        <v>0.02</v>
      </c>
      <c r="ZM12" s="90">
        <f t="shared" si="421"/>
        <v>4.1100000000000003</v>
      </c>
      <c r="ZN12" s="90">
        <f t="shared" si="422"/>
        <v>7.54</v>
      </c>
      <c r="ZO12" s="90">
        <f t="shared" si="423"/>
        <v>6.55</v>
      </c>
      <c r="ZP12" s="90">
        <f t="shared" si="424"/>
        <v>3.84</v>
      </c>
      <c r="ZQ12" s="90">
        <f t="shared" si="425"/>
        <v>0</v>
      </c>
      <c r="ZR12" s="90">
        <f t="shared" si="426"/>
        <v>3.84</v>
      </c>
      <c r="ZS12" s="97">
        <v>227</v>
      </c>
      <c r="ZT12" s="97">
        <v>230.38</v>
      </c>
      <c r="ZU12" s="90">
        <f t="shared" si="427"/>
        <v>0.52</v>
      </c>
      <c r="ZV12" s="90">
        <f t="shared" si="428"/>
        <v>0.18</v>
      </c>
      <c r="ZW12" s="90">
        <v>0.11989898989898991</v>
      </c>
      <c r="ZX12" s="90">
        <f t="shared" si="429"/>
        <v>0.17189999999999997</v>
      </c>
      <c r="ZY12" s="90">
        <v>0.38175323599898991</v>
      </c>
      <c r="ZZ12" s="90">
        <f t="shared" si="430"/>
        <v>0.7</v>
      </c>
      <c r="AAA12" s="90">
        <f t="shared" si="431"/>
        <v>17.189999999999998</v>
      </c>
      <c r="AAB12" s="90">
        <f t="shared" si="432"/>
        <v>17.189999999999998</v>
      </c>
      <c r="AAC12" s="90">
        <f t="shared" si="433"/>
        <v>0</v>
      </c>
      <c r="AAD12" s="90"/>
      <c r="AAE12" s="90">
        <f t="shared" si="434"/>
        <v>17.189999999999998</v>
      </c>
      <c r="AAF12" s="90">
        <v>15.41</v>
      </c>
      <c r="AAG12" s="90">
        <f t="shared" si="435"/>
        <v>111.55094094743671</v>
      </c>
      <c r="AAH12" s="90">
        <f t="shared" si="436"/>
        <v>0</v>
      </c>
      <c r="AAI12" s="90">
        <v>0</v>
      </c>
      <c r="AAJ12" s="90"/>
      <c r="AAK12" s="1">
        <v>16.89</v>
      </c>
      <c r="AAL12" s="104">
        <f t="shared" si="437"/>
        <v>0.29999999999999716</v>
      </c>
      <c r="AAM12" s="103" t="s">
        <v>449</v>
      </c>
      <c r="AAN12" s="105">
        <v>8.49</v>
      </c>
      <c r="AAO12" s="90">
        <f t="shared" si="438"/>
        <v>9.34</v>
      </c>
      <c r="AAP12" s="90">
        <v>4.21</v>
      </c>
      <c r="AAQ12" s="90">
        <f t="shared" si="439"/>
        <v>4.18</v>
      </c>
      <c r="AAR12" s="90">
        <v>0.66</v>
      </c>
      <c r="AAS12" s="90">
        <f t="shared" si="440"/>
        <v>1</v>
      </c>
      <c r="AAT12" s="90">
        <f t="shared" si="441"/>
        <v>151.5151515151515</v>
      </c>
      <c r="AAU12" s="90">
        <v>3.62</v>
      </c>
      <c r="AAV12" s="90">
        <f t="shared" si="442"/>
        <v>3.7</v>
      </c>
      <c r="AAW12" s="90">
        <f t="shared" si="443"/>
        <v>102.20994475138122</v>
      </c>
      <c r="AAX12" s="90">
        <f t="shared" si="444"/>
        <v>0.46</v>
      </c>
      <c r="AAY12" s="90">
        <f t="shared" si="445"/>
        <v>0</v>
      </c>
      <c r="AAZ12" s="90">
        <f t="shared" si="446"/>
        <v>0</v>
      </c>
      <c r="ABA12" s="90">
        <f t="shared" si="447"/>
        <v>0</v>
      </c>
      <c r="ABB12" s="90">
        <f t="shared" si="448"/>
        <v>0</v>
      </c>
      <c r="ABC12" s="90">
        <v>0</v>
      </c>
      <c r="ABD12" s="90">
        <f t="shared" si="449"/>
        <v>0</v>
      </c>
      <c r="ABE12" s="90"/>
      <c r="ABF12" s="90">
        <v>0</v>
      </c>
      <c r="ABG12" s="90">
        <f t="shared" si="450"/>
        <v>0</v>
      </c>
      <c r="ABH12" s="90"/>
      <c r="ABI12" s="90">
        <f t="shared" si="451"/>
        <v>0</v>
      </c>
      <c r="ABJ12" s="90">
        <f t="shared" si="452"/>
        <v>0</v>
      </c>
      <c r="ABK12" s="90">
        <v>0</v>
      </c>
      <c r="ABL12" s="90">
        <f t="shared" si="453"/>
        <v>0</v>
      </c>
      <c r="ABM12" s="90">
        <f t="shared" si="454"/>
        <v>0</v>
      </c>
      <c r="ABN12" s="90">
        <f t="shared" si="455"/>
        <v>0.02</v>
      </c>
      <c r="ABO12" s="90">
        <v>3.91</v>
      </c>
      <c r="ABP12" s="90">
        <f t="shared" si="456"/>
        <v>4.1100000000000003</v>
      </c>
      <c r="ABQ12" s="90">
        <f t="shared" si="457"/>
        <v>105.1150895140665</v>
      </c>
      <c r="ABR12" s="90">
        <f t="shared" si="458"/>
        <v>7.54</v>
      </c>
      <c r="ABS12" s="90">
        <f t="shared" si="459"/>
        <v>6.55</v>
      </c>
      <c r="ABT12" s="90">
        <v>3.84</v>
      </c>
      <c r="ABU12" s="90">
        <f t="shared" si="460"/>
        <v>3.84</v>
      </c>
      <c r="ABV12" s="90">
        <f t="shared" si="461"/>
        <v>100</v>
      </c>
      <c r="ABW12" s="90">
        <f t="shared" si="462"/>
        <v>0</v>
      </c>
      <c r="ABX12" s="90">
        <f t="shared" si="463"/>
        <v>3.84</v>
      </c>
      <c r="ABY12" s="97">
        <v>227</v>
      </c>
      <c r="ABZ12" s="97">
        <v>230.38</v>
      </c>
      <c r="ACA12" s="90">
        <f t="shared" si="464"/>
        <v>0.52</v>
      </c>
      <c r="ACB12" s="90">
        <f t="shared" si="465"/>
        <v>0.18</v>
      </c>
      <c r="ACC12" s="90">
        <v>0.11989898989898991</v>
      </c>
      <c r="ACD12" s="90">
        <f t="shared" si="466"/>
        <v>0.17529999999999998</v>
      </c>
      <c r="ACE12" s="90">
        <v>0.38175323599898991</v>
      </c>
      <c r="ACF12" s="90">
        <v>0.66</v>
      </c>
      <c r="ACG12" s="90">
        <f t="shared" si="467"/>
        <v>0.7</v>
      </c>
      <c r="ACH12" s="90">
        <f t="shared" si="468"/>
        <v>106.06060606060606</v>
      </c>
      <c r="ACI12" s="90">
        <f t="shared" si="469"/>
        <v>17.989999999999998</v>
      </c>
      <c r="ACJ12" s="90">
        <f t="shared" si="470"/>
        <v>17.529999999999998</v>
      </c>
      <c r="ACK12" s="90">
        <f t="shared" si="471"/>
        <v>-0.46000000000000085</v>
      </c>
      <c r="ACL12" s="90"/>
      <c r="ACM12" s="90">
        <f t="shared" si="472"/>
        <v>17.989999999999998</v>
      </c>
      <c r="ACN12" s="90">
        <f t="shared" si="473"/>
        <v>0</v>
      </c>
      <c r="ACO12" s="90">
        <f t="shared" si="474"/>
        <v>17.989999999999998</v>
      </c>
      <c r="ACP12" s="90">
        <v>16.900000000000002</v>
      </c>
      <c r="ACQ12" s="90">
        <f t="shared" si="475"/>
        <v>106.4497041420118</v>
      </c>
      <c r="ACR12" s="90">
        <f t="shared" si="476"/>
        <v>0</v>
      </c>
      <c r="ACS12" s="90">
        <v>0</v>
      </c>
      <c r="ACT12" s="90"/>
      <c r="ACU12" s="90">
        <f t="shared" si="477"/>
        <v>17.761900000000001</v>
      </c>
      <c r="ACV12" s="90">
        <f t="shared" si="478"/>
        <v>-0.22809999999999775</v>
      </c>
      <c r="ACX12" s="106" t="s">
        <v>450</v>
      </c>
      <c r="ACY12" s="107"/>
      <c r="ACZ12" s="107">
        <v>80000</v>
      </c>
      <c r="ADB12" s="90">
        <f t="shared" si="479"/>
        <v>4.1100000000000003</v>
      </c>
      <c r="ADC12" s="90">
        <f t="shared" si="480"/>
        <v>9.34</v>
      </c>
      <c r="ADD12" s="90">
        <f t="shared" si="481"/>
        <v>4.18</v>
      </c>
      <c r="ADE12" s="90">
        <f t="shared" si="482"/>
        <v>1.46</v>
      </c>
      <c r="ADF12" s="90">
        <f t="shared" si="483"/>
        <v>1</v>
      </c>
      <c r="ADG12" s="90">
        <f t="shared" si="484"/>
        <v>0.46</v>
      </c>
      <c r="ADH12" s="90">
        <f t="shared" si="484"/>
        <v>0</v>
      </c>
      <c r="ADI12" s="90">
        <f t="shared" si="484"/>
        <v>0</v>
      </c>
      <c r="ADJ12" s="90">
        <f t="shared" si="485"/>
        <v>3.7</v>
      </c>
      <c r="ADK12" s="90">
        <f t="shared" si="486"/>
        <v>0</v>
      </c>
      <c r="ADL12" s="90">
        <f t="shared" si="487"/>
        <v>0</v>
      </c>
      <c r="ADM12" s="90">
        <f t="shared" si="488"/>
        <v>0</v>
      </c>
      <c r="ADN12" s="90">
        <f t="shared" si="488"/>
        <v>0</v>
      </c>
      <c r="ADO12" s="90">
        <f t="shared" si="489"/>
        <v>3.7</v>
      </c>
      <c r="ADP12" s="90">
        <f t="shared" si="490"/>
        <v>3.84</v>
      </c>
      <c r="ADQ12" s="90">
        <f t="shared" si="491"/>
        <v>0.7</v>
      </c>
      <c r="ADR12" s="90">
        <f t="shared" si="492"/>
        <v>17.989999999999998</v>
      </c>
      <c r="ADU12" s="90">
        <f t="shared" si="493"/>
        <v>1.1499999999999999</v>
      </c>
      <c r="ADV12" s="90">
        <f t="shared" si="494"/>
        <v>1</v>
      </c>
      <c r="ADW12" s="90">
        <f t="shared" si="495"/>
        <v>3.7</v>
      </c>
      <c r="ADX12" s="90">
        <f t="shared" si="496"/>
        <v>4.1100000000000003</v>
      </c>
      <c r="ADY12" s="90">
        <f t="shared" si="497"/>
        <v>7.5699999999999994</v>
      </c>
      <c r="ADZ12" s="90">
        <f t="shared" si="498"/>
        <v>0</v>
      </c>
      <c r="AEA12" s="90">
        <f t="shared" si="499"/>
        <v>17.989999999999998</v>
      </c>
      <c r="AEB12" s="90">
        <f t="shared" si="500"/>
        <v>0</v>
      </c>
      <c r="AEC12" s="104">
        <f t="shared" si="501"/>
        <v>17.53</v>
      </c>
      <c r="AED12" s="104">
        <f t="shared" si="502"/>
        <v>0.4599999999999973</v>
      </c>
      <c r="AEG12" s="1">
        <v>8.49</v>
      </c>
      <c r="AEH12" s="1">
        <v>4.21</v>
      </c>
      <c r="AEI12" s="1">
        <v>0.66</v>
      </c>
      <c r="AEJ12" s="1">
        <v>3.62</v>
      </c>
      <c r="AEK12" s="1">
        <v>0</v>
      </c>
      <c r="AEL12" s="1">
        <v>0</v>
      </c>
      <c r="AEM12" s="1">
        <v>0</v>
      </c>
      <c r="AEN12" s="1">
        <v>0</v>
      </c>
      <c r="AEO12" s="1">
        <v>0</v>
      </c>
      <c r="AEP12" s="1">
        <v>0</v>
      </c>
      <c r="AEQ12" s="1">
        <v>0</v>
      </c>
      <c r="AER12" s="1">
        <v>0</v>
      </c>
      <c r="AES12" s="1">
        <v>0</v>
      </c>
      <c r="AET12" s="1">
        <v>0</v>
      </c>
      <c r="AEU12" s="1">
        <v>0</v>
      </c>
      <c r="AEV12" s="1">
        <v>0.02</v>
      </c>
      <c r="AEW12" s="1">
        <v>3.91</v>
      </c>
      <c r="AEX12" s="1">
        <v>7.46</v>
      </c>
      <c r="AEY12" s="1">
        <v>6.55</v>
      </c>
      <c r="AEZ12" s="1">
        <v>3.84</v>
      </c>
      <c r="AFA12" s="1">
        <v>0</v>
      </c>
      <c r="AFB12" s="1">
        <v>3.84</v>
      </c>
      <c r="AFC12" s="1">
        <v>227</v>
      </c>
      <c r="AFD12" s="1">
        <v>230.38</v>
      </c>
      <c r="AFE12" s="1">
        <v>0.49</v>
      </c>
      <c r="AFF12" s="1">
        <v>0.17</v>
      </c>
      <c r="AFG12" s="1">
        <v>0.11989898989898991</v>
      </c>
      <c r="AFH12" s="1">
        <v>0.16900000000000001</v>
      </c>
      <c r="AFI12" s="1">
        <v>0.38175323599898991</v>
      </c>
      <c r="AFJ12" s="1">
        <v>0.66</v>
      </c>
      <c r="AFK12" s="1">
        <v>16.900000000000002</v>
      </c>
      <c r="AFL12" s="1">
        <v>16.900000000000002</v>
      </c>
      <c r="AFM12" s="1">
        <v>0</v>
      </c>
      <c r="AFO12" s="1">
        <v>16.900000000000002</v>
      </c>
      <c r="AFP12" s="1">
        <v>0</v>
      </c>
      <c r="AFQ12" s="1">
        <v>16.89</v>
      </c>
      <c r="AFX12" s="1">
        <v>17.68</v>
      </c>
    </row>
    <row r="13" spans="1:856" s="1" customFormat="1" ht="63.75" customHeight="1">
      <c r="A13" s="88">
        <v>5</v>
      </c>
      <c r="B13" s="20"/>
      <c r="C13" s="89" t="s">
        <v>451</v>
      </c>
      <c r="D13" s="20"/>
      <c r="E13" s="20" t="s">
        <v>437</v>
      </c>
      <c r="F13" s="20" t="s">
        <v>438</v>
      </c>
      <c r="G13" s="20">
        <v>0.8</v>
      </c>
      <c r="H13" s="20">
        <v>567.79999999999995</v>
      </c>
      <c r="I13" s="20">
        <f>567.8+9.8+3.7</f>
        <v>581.29999999999995</v>
      </c>
      <c r="J13" s="20">
        <f t="shared" si="0"/>
        <v>465.03999999999996</v>
      </c>
      <c r="K13" s="20">
        <v>12</v>
      </c>
      <c r="L13" s="20"/>
      <c r="M13" s="20"/>
      <c r="N13" s="20"/>
      <c r="O13" s="90">
        <f t="shared" si="1"/>
        <v>0</v>
      </c>
      <c r="P13" s="20"/>
      <c r="Q13" s="20"/>
      <c r="R13" s="90">
        <f t="shared" si="2"/>
        <v>0</v>
      </c>
      <c r="S13" s="20">
        <v>57.9</v>
      </c>
      <c r="T13" s="20">
        <v>2.6</v>
      </c>
      <c r="U13" s="20">
        <v>3.13</v>
      </c>
      <c r="V13" s="91">
        <f t="shared" si="3"/>
        <v>471.19</v>
      </c>
      <c r="W13" s="20">
        <v>2.1000000000000001E-2</v>
      </c>
      <c r="X13" s="20">
        <f t="shared" si="4"/>
        <v>33.42</v>
      </c>
      <c r="Y13" s="91">
        <f t="shared" si="5"/>
        <v>40.64</v>
      </c>
      <c r="Z13" s="20"/>
      <c r="AA13" s="20"/>
      <c r="AB13" s="20"/>
      <c r="AC13" s="91">
        <f t="shared" si="6"/>
        <v>511.83</v>
      </c>
      <c r="AD13" s="90">
        <f t="shared" si="7"/>
        <v>0.88</v>
      </c>
      <c r="AE13" s="92">
        <f t="shared" si="8"/>
        <v>6141.96</v>
      </c>
      <c r="AF13" s="20">
        <v>40</v>
      </c>
      <c r="AG13" s="20">
        <v>39</v>
      </c>
      <c r="AH13" s="20">
        <v>39</v>
      </c>
      <c r="AI13" s="20">
        <f>2+35</f>
        <v>37</v>
      </c>
      <c r="AJ13" s="20">
        <v>1.6</v>
      </c>
      <c r="AK13" s="90">
        <f t="shared" si="9"/>
        <v>5.2</v>
      </c>
      <c r="AL13" s="90">
        <v>391.01</v>
      </c>
      <c r="AM13" s="90">
        <f t="shared" si="10"/>
        <v>2033.25</v>
      </c>
      <c r="AN13" s="20">
        <v>39</v>
      </c>
      <c r="AO13" s="20">
        <v>37</v>
      </c>
      <c r="AP13" s="20">
        <v>40</v>
      </c>
      <c r="AQ13" s="20">
        <v>39</v>
      </c>
      <c r="AR13" s="20">
        <v>37</v>
      </c>
      <c r="AS13" s="20">
        <f>3+36</f>
        <v>39</v>
      </c>
      <c r="AT13" s="20">
        <f t="shared" si="11"/>
        <v>1</v>
      </c>
      <c r="AU13" s="20">
        <v>1.6</v>
      </c>
      <c r="AV13" s="90">
        <f t="shared" si="12"/>
        <v>5.33</v>
      </c>
      <c r="AW13" s="90">
        <f t="shared" si="13"/>
        <v>180.78</v>
      </c>
      <c r="AX13" s="90">
        <v>940.06</v>
      </c>
      <c r="AY13" s="90">
        <f t="shared" si="14"/>
        <v>1.62</v>
      </c>
      <c r="AZ13" s="90">
        <f t="shared" si="15"/>
        <v>2085.39</v>
      </c>
      <c r="BA13" s="90">
        <f t="shared" si="16"/>
        <v>-1145.33</v>
      </c>
      <c r="BB13" s="90">
        <v>940.06</v>
      </c>
      <c r="BC13" s="90">
        <v>1.63</v>
      </c>
      <c r="BD13" s="92">
        <f t="shared" si="17"/>
        <v>11280.72</v>
      </c>
      <c r="BE13" s="90"/>
      <c r="BF13" s="90">
        <f t="shared" si="18"/>
        <v>0</v>
      </c>
      <c r="BG13" s="90">
        <v>391.01</v>
      </c>
      <c r="BH13" s="90">
        <f t="shared" si="19"/>
        <v>2084.08</v>
      </c>
      <c r="BI13" s="90">
        <f t="shared" si="20"/>
        <v>3.59</v>
      </c>
      <c r="BJ13" s="90">
        <f t="shared" si="21"/>
        <v>221.60493827160491</v>
      </c>
      <c r="BK13" s="90">
        <f t="shared" si="22"/>
        <v>2084.08</v>
      </c>
      <c r="BL13" s="90">
        <f t="shared" si="23"/>
        <v>3.59</v>
      </c>
      <c r="BM13" s="90"/>
      <c r="BN13" s="90">
        <f t="shared" si="24"/>
        <v>0</v>
      </c>
      <c r="BO13" s="90">
        <f t="shared" si="25"/>
        <v>2084.08</v>
      </c>
      <c r="BP13" s="90">
        <f t="shared" si="26"/>
        <v>3.5852055737140893</v>
      </c>
      <c r="BQ13" s="90"/>
      <c r="BR13" s="90">
        <f t="shared" si="27"/>
        <v>0</v>
      </c>
      <c r="BS13" s="90">
        <f t="shared" si="28"/>
        <v>2084.08</v>
      </c>
      <c r="BT13" s="90">
        <f t="shared" si="29"/>
        <v>3.5852055737140893</v>
      </c>
      <c r="BU13" s="90"/>
      <c r="BV13" s="93">
        <v>0.82054400000000005</v>
      </c>
      <c r="BW13" s="90">
        <f t="shared" si="30"/>
        <v>476.98222720000001</v>
      </c>
      <c r="BX13" s="90">
        <f t="shared" si="31"/>
        <v>505.60116083200006</v>
      </c>
      <c r="BY13" s="90"/>
      <c r="BZ13" s="90"/>
      <c r="CA13" s="90">
        <v>0.26506960000000002</v>
      </c>
      <c r="CB13" s="90">
        <f t="shared" si="32"/>
        <v>154.08495848000001</v>
      </c>
      <c r="CC13" s="90">
        <v>0.71072749999999996</v>
      </c>
      <c r="CD13" s="90">
        <f t="shared" si="33"/>
        <v>109.5124173280942</v>
      </c>
      <c r="CE13" s="90">
        <f t="shared" si="34"/>
        <v>165.5965458375907</v>
      </c>
      <c r="CF13" s="90">
        <v>160.63300291589343</v>
      </c>
      <c r="CG13" s="90">
        <v>160.63300291589343</v>
      </c>
      <c r="CH13" s="90">
        <f t="shared" si="35"/>
        <v>168.34</v>
      </c>
      <c r="CI13" s="90">
        <f>I13*0.305869418</f>
        <v>177.80189268339998</v>
      </c>
      <c r="CJ13" s="90">
        <f t="shared" si="36"/>
        <v>177.6</v>
      </c>
      <c r="CK13" s="90">
        <f t="shared" si="37"/>
        <v>189.03074969102673</v>
      </c>
      <c r="CL13" s="90">
        <f t="shared" si="38"/>
        <v>189.03074969102673</v>
      </c>
      <c r="CM13" s="94">
        <v>0.14899999999999999</v>
      </c>
      <c r="CN13" s="90">
        <f t="shared" si="39"/>
        <v>71.070351852800002</v>
      </c>
      <c r="CO13" s="90">
        <f t="shared" si="40"/>
        <v>75.334572963968</v>
      </c>
      <c r="CP13" s="90"/>
      <c r="CQ13" s="90">
        <v>3.9538999999999998E-2</v>
      </c>
      <c r="CR13" s="90">
        <f t="shared" si="41"/>
        <v>22.984020699999999</v>
      </c>
      <c r="CS13" s="90">
        <v>0.71072749999999996</v>
      </c>
      <c r="CT13" s="90">
        <f t="shared" si="42"/>
        <v>16.335375572059249</v>
      </c>
      <c r="CU13" s="90">
        <f t="shared" si="43"/>
        <v>24.701141986378286</v>
      </c>
      <c r="CV13" s="90">
        <v>49.641491748255177</v>
      </c>
      <c r="CW13" s="90">
        <f t="shared" si="44"/>
        <v>52.02</v>
      </c>
      <c r="CX13" s="90">
        <f>I13*0.094518992</f>
        <v>54.943890049599993</v>
      </c>
      <c r="CY13" s="90">
        <f t="shared" si="45"/>
        <v>54.88</v>
      </c>
      <c r="CZ13" s="90">
        <f t="shared" si="46"/>
        <v>58.413802970652519</v>
      </c>
      <c r="DA13" s="90">
        <f t="shared" si="47"/>
        <v>58.413802970652519</v>
      </c>
      <c r="DB13" s="93">
        <v>0.80940000000000001</v>
      </c>
      <c r="DC13" s="90">
        <f t="shared" si="48"/>
        <v>470.50421999999998</v>
      </c>
      <c r="DD13" s="90">
        <f t="shared" si="49"/>
        <v>498.73447320000002</v>
      </c>
      <c r="DE13" s="90"/>
      <c r="DF13" s="90"/>
      <c r="DG13" s="90">
        <v>0.16261500000000001</v>
      </c>
      <c r="DH13" s="90">
        <f t="shared" si="50"/>
        <v>94.528099499999996</v>
      </c>
      <c r="DI13" s="90">
        <v>0.71072749999999996</v>
      </c>
      <c r="DJ13" s="90">
        <f t="shared" si="51"/>
        <v>67.183719837386249</v>
      </c>
      <c r="DK13" s="90">
        <f t="shared" si="52"/>
        <v>101.59023253281329</v>
      </c>
      <c r="DL13" s="90">
        <v>79.855590626692006</v>
      </c>
      <c r="DM13" s="90">
        <f t="shared" si="53"/>
        <v>83.69</v>
      </c>
      <c r="DN13" s="90">
        <f>I13*0.152062561</f>
        <v>88.393966709300003</v>
      </c>
      <c r="DO13" s="90">
        <f t="shared" si="54"/>
        <v>88.29</v>
      </c>
      <c r="DP13" s="90">
        <f t="shared" si="55"/>
        <v>93.976377546079121</v>
      </c>
      <c r="DQ13" s="90">
        <f t="shared" si="56"/>
        <v>93.976377546079121</v>
      </c>
      <c r="DR13" s="93">
        <v>3.1841000000000001E-2</v>
      </c>
      <c r="DS13" s="90">
        <f t="shared" si="57"/>
        <v>18.5091733</v>
      </c>
      <c r="DT13" s="90">
        <f t="shared" si="58"/>
        <v>19.619723698000001</v>
      </c>
      <c r="DU13" s="90"/>
      <c r="DV13" s="90">
        <v>6.1506E-3</v>
      </c>
      <c r="DW13" s="90">
        <f t="shared" si="59"/>
        <v>3.5753437799999999</v>
      </c>
      <c r="DX13" s="90">
        <v>0.71072749999999996</v>
      </c>
      <c r="DY13" s="90">
        <f t="shared" si="60"/>
        <v>2.5410951463999498</v>
      </c>
      <c r="DZ13" s="90">
        <f t="shared" si="61"/>
        <v>3.8424553959740582</v>
      </c>
      <c r="EA13" s="90">
        <f t="shared" si="62"/>
        <v>4.03</v>
      </c>
      <c r="EB13" s="90">
        <f>I13*0.007267896</f>
        <v>4.2248279447999995</v>
      </c>
      <c r="EC13" s="90">
        <f t="shared" si="63"/>
        <v>4.25</v>
      </c>
      <c r="ED13" s="90">
        <f t="shared" si="64"/>
        <v>4.4916416899070777</v>
      </c>
      <c r="EE13" s="90">
        <f t="shared" si="65"/>
        <v>4.4916416899070777</v>
      </c>
      <c r="EF13" s="94">
        <v>0.85293354333000004</v>
      </c>
      <c r="EG13" s="90">
        <f t="shared" si="66"/>
        <v>396.64821499018319</v>
      </c>
      <c r="EH13" s="90">
        <f t="shared" si="67"/>
        <v>420.44710788959418</v>
      </c>
      <c r="EI13" s="90"/>
      <c r="EJ13" s="90">
        <v>0.58970610000000001</v>
      </c>
      <c r="EK13" s="90">
        <f t="shared" si="68"/>
        <v>274.23692474399996</v>
      </c>
      <c r="EL13" s="90">
        <v>0.71072749999999996</v>
      </c>
      <c r="EM13" s="90">
        <f t="shared" si="69"/>
        <v>194.90772393099121</v>
      </c>
      <c r="EN13" s="90">
        <f t="shared" si="70"/>
        <v>294.72498760885992</v>
      </c>
      <c r="EO13" s="90">
        <v>285.59943957976162</v>
      </c>
      <c r="EP13" s="90">
        <f t="shared" si="71"/>
        <v>299.31</v>
      </c>
      <c r="EQ13" s="90">
        <f>I13*0.543838515</f>
        <v>316.1333287695</v>
      </c>
      <c r="ER13" s="90">
        <f t="shared" si="72"/>
        <v>315.77</v>
      </c>
      <c r="ES13" s="90">
        <f t="shared" si="73"/>
        <v>336.09833527490707</v>
      </c>
      <c r="ET13" s="90">
        <f t="shared" si="74"/>
        <v>336.09833527490707</v>
      </c>
      <c r="EU13" s="94">
        <v>0.14899999999999999</v>
      </c>
      <c r="EV13" s="90">
        <f t="shared" si="75"/>
        <v>59.100584033537295</v>
      </c>
      <c r="EW13" s="90">
        <f t="shared" si="76"/>
        <v>62.646619075549538</v>
      </c>
      <c r="EX13" s="90"/>
      <c r="EY13" s="90">
        <v>8.7874999999999995E-2</v>
      </c>
      <c r="EZ13" s="90">
        <f t="shared" si="77"/>
        <v>40.865389999999998</v>
      </c>
      <c r="FA13" s="90">
        <v>0.71072749999999996</v>
      </c>
      <c r="FB13" s="90">
        <f t="shared" si="78"/>
        <v>29.044156471224998</v>
      </c>
      <c r="FC13" s="90">
        <f t="shared" si="79"/>
        <v>43.918416794617805</v>
      </c>
      <c r="FD13" s="90">
        <v>88.323586574051163</v>
      </c>
      <c r="FE13" s="90">
        <f t="shared" si="80"/>
        <v>92.56</v>
      </c>
      <c r="FF13" s="90">
        <f>I13*0.168179122</f>
        <v>97.762523618599985</v>
      </c>
      <c r="FG13" s="90">
        <f t="shared" si="81"/>
        <v>97.65</v>
      </c>
      <c r="FH13" s="90">
        <f t="shared" si="82"/>
        <v>103.93659399462632</v>
      </c>
      <c r="FI13" s="90">
        <f t="shared" si="83"/>
        <v>103.93659399462632</v>
      </c>
      <c r="FJ13" s="93">
        <v>0.49981642240000002</v>
      </c>
      <c r="FK13" s="90">
        <f t="shared" si="84"/>
        <v>232.434629072896</v>
      </c>
      <c r="FL13" s="90">
        <f t="shared" si="85"/>
        <v>246.38070681726978</v>
      </c>
      <c r="FM13" s="90"/>
      <c r="FN13" s="90">
        <v>0.35816899099999999</v>
      </c>
      <c r="FO13" s="90">
        <f t="shared" si="86"/>
        <v>166.56290757463998</v>
      </c>
      <c r="FP13" s="90">
        <v>0.71072749999999996</v>
      </c>
      <c r="FQ13" s="90">
        <f t="shared" si="87"/>
        <v>118.38083889325493</v>
      </c>
      <c r="FR13" s="90">
        <f t="shared" si="88"/>
        <v>179.00671441986586</v>
      </c>
      <c r="FS13" s="90">
        <v>140.21369052910782</v>
      </c>
      <c r="FT13" s="90">
        <f t="shared" si="89"/>
        <v>146.94</v>
      </c>
      <c r="FU13" s="90">
        <v>140.33218260392883</v>
      </c>
      <c r="FV13" s="90">
        <f t="shared" si="90"/>
        <v>147.07</v>
      </c>
      <c r="FW13" s="90">
        <f>I13*0.267222379</f>
        <v>155.33636891269998</v>
      </c>
      <c r="FX13" s="90">
        <f t="shared" si="91"/>
        <v>155.16</v>
      </c>
      <c r="FY13" s="90">
        <f t="shared" si="92"/>
        <v>165.14644375656309</v>
      </c>
      <c r="FZ13" s="90">
        <f t="shared" si="93"/>
        <v>165.14644375656309</v>
      </c>
      <c r="GA13" s="94">
        <v>1.352261642E-2</v>
      </c>
      <c r="GB13" s="90">
        <f t="shared" si="94"/>
        <v>6.2885575399567992</v>
      </c>
      <c r="GC13" s="90">
        <f t="shared" si="95"/>
        <v>6.6658709923542077</v>
      </c>
      <c r="GD13" s="90"/>
      <c r="GE13" s="90">
        <v>1.0795000000000001E-2</v>
      </c>
      <c r="GF13" s="90">
        <f t="shared" si="96"/>
        <v>5.0201067999999998</v>
      </c>
      <c r="GG13" s="90">
        <v>0.71072749999999996</v>
      </c>
      <c r="GH13" s="90">
        <f t="shared" si="97"/>
        <v>3.5679279556969998</v>
      </c>
      <c r="GI13" s="90">
        <f t="shared" si="98"/>
        <v>5.3951557245849138</v>
      </c>
      <c r="GJ13" s="90">
        <f t="shared" si="99"/>
        <v>5.65</v>
      </c>
      <c r="GK13" s="90">
        <f>I13*0.010211394</f>
        <v>5.9358833321999995</v>
      </c>
      <c r="GL13" s="90">
        <f t="shared" si="100"/>
        <v>5.96</v>
      </c>
      <c r="GM13" s="90">
        <f t="shared" si="101"/>
        <v>6.3107566484807984</v>
      </c>
      <c r="GN13" s="90">
        <f t="shared" si="102"/>
        <v>6.3107566484807984</v>
      </c>
      <c r="GO13" s="90">
        <v>2419.1999999999998</v>
      </c>
      <c r="GP13" s="90">
        <f t="shared" si="103"/>
        <v>201.6</v>
      </c>
      <c r="GQ13" s="90">
        <f>1587.6+138.6</f>
        <v>1726.1999999999998</v>
      </c>
      <c r="GR13" s="90">
        <f t="shared" si="104"/>
        <v>143.85</v>
      </c>
      <c r="GS13" s="90">
        <f t="shared" si="105"/>
        <v>345.45</v>
      </c>
      <c r="GT13" s="90">
        <f t="shared" si="106"/>
        <v>0.59</v>
      </c>
      <c r="GU13" s="108">
        <f>2418+21</f>
        <v>2439</v>
      </c>
      <c r="GV13" s="90">
        <f>1316.76+115.72</f>
        <v>1432.48</v>
      </c>
      <c r="GW13" s="90">
        <f t="shared" si="107"/>
        <v>322.62333333333333</v>
      </c>
      <c r="GX13" s="90">
        <f t="shared" si="108"/>
        <v>0.56000000000000005</v>
      </c>
      <c r="GY13" s="90">
        <v>4321.2</v>
      </c>
      <c r="GZ13" s="90">
        <f>1400.52+123.7</f>
        <v>1524.22</v>
      </c>
      <c r="HA13" s="90">
        <f t="shared" si="109"/>
        <v>487.11833333333334</v>
      </c>
      <c r="HB13" s="90">
        <f t="shared" si="110"/>
        <v>0.84</v>
      </c>
      <c r="HC13" s="90">
        <v>4321.2</v>
      </c>
      <c r="HD13" s="90">
        <f>1400.52+123.7</f>
        <v>1524.22</v>
      </c>
      <c r="HE13" s="90">
        <f t="shared" si="111"/>
        <v>487.11833333333334</v>
      </c>
      <c r="HF13" s="90">
        <f t="shared" si="112"/>
        <v>0.84</v>
      </c>
      <c r="HG13" s="90"/>
      <c r="HH13" s="90"/>
      <c r="HI13" s="90">
        <v>0.96</v>
      </c>
      <c r="HJ13" s="90">
        <f t="shared" si="113"/>
        <v>558.04799999999989</v>
      </c>
      <c r="HK13" s="90">
        <f t="shared" si="114"/>
        <v>1.0060725959057286</v>
      </c>
      <c r="HL13" s="90">
        <f t="shared" si="115"/>
        <v>584.83000000000004</v>
      </c>
      <c r="HM13" s="90">
        <v>1.07</v>
      </c>
      <c r="HN13" s="90">
        <f t="shared" si="116"/>
        <v>621.99099999999999</v>
      </c>
      <c r="HO13" s="90">
        <v>1.1499999999999999</v>
      </c>
      <c r="HP13" s="90">
        <f t="shared" si="117"/>
        <v>668.5</v>
      </c>
      <c r="HQ13" s="90">
        <v>1.1499999999999999</v>
      </c>
      <c r="HR13" s="90">
        <f t="shared" si="118"/>
        <v>668.5</v>
      </c>
      <c r="HS13" s="90">
        <v>0.31922099999999998</v>
      </c>
      <c r="HT13" s="90">
        <f t="shared" si="119"/>
        <v>185.56316729999998</v>
      </c>
      <c r="HU13" s="90" t="e">
        <f>HT13*#REF!</f>
        <v>#REF!</v>
      </c>
      <c r="HV13" s="90">
        <v>2.83</v>
      </c>
      <c r="HW13" s="100">
        <v>3.1</v>
      </c>
      <c r="HX13" s="90">
        <f t="shared" si="120"/>
        <v>1802.03</v>
      </c>
      <c r="HY13" s="90">
        <v>1.06</v>
      </c>
      <c r="HZ13" s="90">
        <f t="shared" si="121"/>
        <v>1910.1518000000001</v>
      </c>
      <c r="IA13" s="90">
        <f t="shared" si="122"/>
        <v>3.29</v>
      </c>
      <c r="IB13" s="90">
        <f t="shared" si="123"/>
        <v>3.45</v>
      </c>
      <c r="IC13" s="90">
        <f t="shared" si="124"/>
        <v>2005.4849999999999</v>
      </c>
      <c r="ID13" s="90">
        <f t="shared" si="125"/>
        <v>3.64</v>
      </c>
      <c r="IE13" s="90">
        <f t="shared" si="126"/>
        <v>2115.9299999999998</v>
      </c>
      <c r="IF13" s="90">
        <f t="shared" si="127"/>
        <v>3.64</v>
      </c>
      <c r="IG13" s="92">
        <f t="shared" si="128"/>
        <v>25391.159999999996</v>
      </c>
      <c r="IH13" s="90">
        <v>3.91</v>
      </c>
      <c r="II13" s="90">
        <f t="shared" si="129"/>
        <v>4.1100000000000003</v>
      </c>
      <c r="IJ13" s="90">
        <f t="shared" si="130"/>
        <v>2389.14</v>
      </c>
      <c r="IK13" s="90">
        <f t="shared" si="131"/>
        <v>4.1100000000000003</v>
      </c>
      <c r="IL13" s="90">
        <f t="shared" si="132"/>
        <v>2389.14</v>
      </c>
      <c r="IM13" s="90">
        <f t="shared" si="133"/>
        <v>4.1100000000000003</v>
      </c>
      <c r="IN13" s="90">
        <f t="shared" si="134"/>
        <v>2389.14</v>
      </c>
      <c r="IO13" s="90">
        <f t="shared" si="135"/>
        <v>4.1100000000000003</v>
      </c>
      <c r="IP13" s="93">
        <v>0.37052404126999999</v>
      </c>
      <c r="IQ13" s="90">
        <f t="shared" si="136"/>
        <v>172.30850015220079</v>
      </c>
      <c r="IR13" s="90">
        <f t="shared" si="137"/>
        <v>182.64701016133284</v>
      </c>
      <c r="IS13" s="90">
        <v>108693.96</v>
      </c>
      <c r="IT13" s="90">
        <v>3053.33</v>
      </c>
      <c r="IU13" s="94"/>
      <c r="IV13" s="94"/>
      <c r="IW13" s="94">
        <v>1.697699125</v>
      </c>
      <c r="IX13" s="90">
        <f t="shared" si="138"/>
        <v>789.49800108999989</v>
      </c>
      <c r="IY13" s="93">
        <v>0.56339614052999998</v>
      </c>
      <c r="IZ13" s="90">
        <f t="shared" si="139"/>
        <v>327.50217649008897</v>
      </c>
      <c r="JA13" s="90">
        <f t="shared" si="140"/>
        <v>343.22</v>
      </c>
      <c r="JB13" s="90">
        <f>I13*0.619660843</f>
        <v>360.20884803589996</v>
      </c>
      <c r="JC13" s="90">
        <f t="shared" si="141"/>
        <v>362.1</v>
      </c>
      <c r="JD13" s="90">
        <f t="shared" si="142"/>
        <v>382.95738904653626</v>
      </c>
      <c r="JE13" s="90">
        <f t="shared" si="143"/>
        <v>382.95738904653626</v>
      </c>
      <c r="JF13" s="93">
        <v>4.2278943710000003E-2</v>
      </c>
      <c r="JG13" s="90">
        <f t="shared" si="144"/>
        <v>19.661399982898399</v>
      </c>
      <c r="JH13" s="90">
        <f t="shared" si="145"/>
        <v>20.841083981872302</v>
      </c>
      <c r="JI13" s="20">
        <v>462.98</v>
      </c>
      <c r="JJ13" s="20"/>
      <c r="JK13" s="20">
        <v>6.0564350000000003E-2</v>
      </c>
      <c r="JL13" s="90">
        <f t="shared" si="146"/>
        <v>28.164845323999998</v>
      </c>
      <c r="JM13" s="93">
        <v>6.7347080040000007E-2</v>
      </c>
      <c r="JN13" s="90">
        <f t="shared" si="147"/>
        <v>39.148857627251999</v>
      </c>
      <c r="JO13" s="90">
        <f t="shared" si="148"/>
        <v>41.03</v>
      </c>
      <c r="JP13" s="90">
        <f>I13*0.074078034</f>
        <v>43.0615611642</v>
      </c>
      <c r="JQ13" s="90">
        <f t="shared" si="149"/>
        <v>43.29</v>
      </c>
      <c r="JR13" s="90">
        <f t="shared" si="150"/>
        <v>45.781060408783233</v>
      </c>
      <c r="JS13" s="90">
        <f t="shared" si="151"/>
        <v>45.781060408783233</v>
      </c>
      <c r="JT13" s="93">
        <v>7.3220517000000002E-3</v>
      </c>
      <c r="JU13" s="90">
        <f t="shared" si="152"/>
        <v>3.4050469225679998</v>
      </c>
      <c r="JV13" s="90">
        <f t="shared" si="153"/>
        <v>3.57</v>
      </c>
      <c r="JW13" s="90">
        <f>I13*0.006450258</f>
        <v>3.7495349754</v>
      </c>
      <c r="JX13" s="90">
        <f t="shared" si="154"/>
        <v>3.77</v>
      </c>
      <c r="JY13" s="90">
        <f t="shared" si="155"/>
        <v>3.9863321851959155</v>
      </c>
      <c r="JZ13" s="90">
        <f t="shared" si="156"/>
        <v>3.9863321851959155</v>
      </c>
      <c r="KA13" s="90">
        <v>8.3091099999999998E-3</v>
      </c>
      <c r="KB13" s="90">
        <f t="shared" si="157"/>
        <v>3.8640685143999995</v>
      </c>
      <c r="KC13" s="90" t="e">
        <f>KB13*#REF!</f>
        <v>#REF!</v>
      </c>
      <c r="KD13" s="90">
        <v>34406.519999999997</v>
      </c>
      <c r="KE13" s="90">
        <v>40292.97</v>
      </c>
      <c r="KF13" s="90"/>
      <c r="KG13" s="90">
        <f t="shared" si="158"/>
        <v>680.75188833395532</v>
      </c>
      <c r="KH13" s="90" t="e">
        <f>KG13/(BW13+#REF!)*(CB13+#REF!)</f>
        <v>#REF!</v>
      </c>
      <c r="KI13" s="90">
        <v>0.8</v>
      </c>
      <c r="KJ13" s="94"/>
      <c r="KK13" s="90">
        <f t="shared" si="159"/>
        <v>0</v>
      </c>
      <c r="KL13" s="93">
        <v>1.1147001000000001</v>
      </c>
      <c r="KM13" s="90">
        <f t="shared" si="160"/>
        <v>647.97516813000004</v>
      </c>
      <c r="KN13" s="90">
        <f t="shared" si="161"/>
        <v>686.85367821780005</v>
      </c>
      <c r="KO13" s="90" t="e">
        <f>BW13+CN13+DC13+DS13+EG13+EV13+FK13+GB13+#REF!+#REF!+HJ13+HX13+IQ13+JG13+JU13+KK13+KM13</f>
        <v>#REF!</v>
      </c>
      <c r="KP13" s="90"/>
      <c r="KQ13" s="90">
        <v>0.50814739200000003</v>
      </c>
      <c r="KR13" s="90">
        <f t="shared" si="162"/>
        <v>295.38607896960002</v>
      </c>
      <c r="KS13" s="90">
        <v>0.71072749999999996</v>
      </c>
      <c r="KT13" s="90">
        <f t="shared" si="163"/>
        <v>209.93900944086639</v>
      </c>
      <c r="KU13" s="90">
        <f t="shared" si="164"/>
        <v>317.4541814360461</v>
      </c>
      <c r="KV13" s="90">
        <f t="shared" si="165"/>
        <v>332.69</v>
      </c>
      <c r="KW13" s="90">
        <f>I13*0.600637125</f>
        <v>349.15036076249999</v>
      </c>
      <c r="KX13" s="90">
        <f t="shared" si="166"/>
        <v>350.99</v>
      </c>
      <c r="KY13" s="90">
        <f t="shared" si="167"/>
        <v>371.20051678724201</v>
      </c>
      <c r="KZ13" s="90">
        <f t="shared" si="168"/>
        <v>371.20051678724201</v>
      </c>
      <c r="LA13" s="90">
        <f t="shared" si="169"/>
        <v>2278.6939869580997</v>
      </c>
      <c r="LB13" s="90">
        <f t="shared" si="170"/>
        <v>3.92</v>
      </c>
      <c r="LC13" s="92">
        <f t="shared" si="171"/>
        <v>27344.327843497194</v>
      </c>
      <c r="LD13" s="92">
        <v>4.21</v>
      </c>
      <c r="LE13" s="92">
        <v>2447.2700000000004</v>
      </c>
      <c r="LF13" s="90">
        <f t="shared" si="172"/>
        <v>4.18</v>
      </c>
      <c r="LG13" s="90">
        <f t="shared" si="173"/>
        <v>2429.83</v>
      </c>
      <c r="LH13" s="90">
        <f t="shared" si="174"/>
        <v>2449.5960359799569</v>
      </c>
      <c r="LI13" s="90">
        <f t="shared" si="175"/>
        <v>4.21</v>
      </c>
      <c r="LJ13" s="90">
        <f t="shared" si="176"/>
        <v>2429.83</v>
      </c>
      <c r="LK13" s="90">
        <f t="shared" si="177"/>
        <v>4.18</v>
      </c>
      <c r="LL13" s="90">
        <f t="shared" si="178"/>
        <v>2429.83</v>
      </c>
      <c r="LM13" s="90">
        <f t="shared" si="179"/>
        <v>4.18</v>
      </c>
      <c r="LN13" s="95">
        <v>0.46</v>
      </c>
      <c r="LO13" s="95">
        <f t="shared" si="180"/>
        <v>267.39999999999998</v>
      </c>
      <c r="LP13" s="95"/>
      <c r="LQ13" s="95">
        <f t="shared" si="181"/>
        <v>0</v>
      </c>
      <c r="LR13" s="90"/>
      <c r="LS13" s="90"/>
      <c r="LT13" s="90">
        <f t="shared" si="182"/>
        <v>0</v>
      </c>
      <c r="LU13" s="90"/>
      <c r="LV13" s="90">
        <f t="shared" si="183"/>
        <v>0</v>
      </c>
      <c r="LW13" s="90">
        <f t="shared" si="184"/>
        <v>0</v>
      </c>
      <c r="LX13" s="90"/>
      <c r="LY13" s="90"/>
      <c r="LZ13" s="90">
        <f t="shared" si="185"/>
        <v>0</v>
      </c>
      <c r="MA13" s="90"/>
      <c r="MB13" s="90">
        <f t="shared" si="186"/>
        <v>0</v>
      </c>
      <c r="MC13" s="90">
        <f t="shared" si="187"/>
        <v>0</v>
      </c>
      <c r="MD13" s="90"/>
      <c r="ME13" s="90"/>
      <c r="MF13" s="90">
        <f t="shared" si="188"/>
        <v>0</v>
      </c>
      <c r="MG13" s="90"/>
      <c r="MH13" s="90">
        <f t="shared" si="189"/>
        <v>0</v>
      </c>
      <c r="MI13" s="90">
        <f t="shared" si="190"/>
        <v>0</v>
      </c>
      <c r="MJ13" s="90"/>
      <c r="MK13" s="90"/>
      <c r="ML13" s="90">
        <f t="shared" si="191"/>
        <v>0</v>
      </c>
      <c r="MM13" s="90"/>
      <c r="MN13" s="90">
        <f t="shared" si="192"/>
        <v>0</v>
      </c>
      <c r="MO13" s="90">
        <f t="shared" si="193"/>
        <v>0</v>
      </c>
      <c r="MP13" s="90">
        <f t="shared" si="194"/>
        <v>0</v>
      </c>
      <c r="MQ13" s="90">
        <f t="shared" si="195"/>
        <v>0</v>
      </c>
      <c r="MR13" s="90">
        <f t="shared" si="196"/>
        <v>0</v>
      </c>
      <c r="MS13" s="90">
        <f t="shared" si="197"/>
        <v>0</v>
      </c>
      <c r="MT13" s="95"/>
      <c r="MU13" s="95">
        <f t="shared" si="198"/>
        <v>0</v>
      </c>
      <c r="MV13" s="92">
        <f t="shared" si="199"/>
        <v>0</v>
      </c>
      <c r="MW13" s="95"/>
      <c r="MX13" s="95">
        <f t="shared" si="200"/>
        <v>0</v>
      </c>
      <c r="MY13" s="95"/>
      <c r="MZ13" s="95">
        <f t="shared" si="201"/>
        <v>0</v>
      </c>
      <c r="NA13" s="95"/>
      <c r="NB13" s="95">
        <f t="shared" si="202"/>
        <v>0</v>
      </c>
      <c r="NC13" s="92">
        <f t="shared" si="203"/>
        <v>0</v>
      </c>
      <c r="ND13" s="95"/>
      <c r="NE13" s="95">
        <f t="shared" si="204"/>
        <v>0</v>
      </c>
      <c r="NF13" s="95"/>
      <c r="NG13" s="95">
        <f t="shared" si="205"/>
        <v>0</v>
      </c>
      <c r="NH13" s="95"/>
      <c r="NI13" s="95"/>
      <c r="NJ13" s="95">
        <f t="shared" si="206"/>
        <v>0</v>
      </c>
      <c r="NK13" s="92">
        <f t="shared" si="207"/>
        <v>0</v>
      </c>
      <c r="NL13" s="95"/>
      <c r="NM13" s="95">
        <f t="shared" si="208"/>
        <v>0</v>
      </c>
      <c r="NN13" s="95"/>
      <c r="NO13" s="95">
        <f t="shared" si="209"/>
        <v>0</v>
      </c>
      <c r="NP13" s="95"/>
      <c r="NQ13" s="95">
        <f t="shared" si="210"/>
        <v>0</v>
      </c>
      <c r="NR13" s="92">
        <f t="shared" si="211"/>
        <v>0</v>
      </c>
      <c r="NS13" s="95"/>
      <c r="NT13" s="95">
        <f t="shared" si="212"/>
        <v>0</v>
      </c>
      <c r="NU13" s="95"/>
      <c r="NV13" s="95">
        <f t="shared" si="213"/>
        <v>0</v>
      </c>
      <c r="NW13" s="95"/>
      <c r="NX13" s="95">
        <f t="shared" si="214"/>
        <v>0</v>
      </c>
      <c r="NY13" s="92">
        <f t="shared" si="215"/>
        <v>0</v>
      </c>
      <c r="NZ13" s="95"/>
      <c r="OA13" s="95">
        <f t="shared" si="216"/>
        <v>0</v>
      </c>
      <c r="OB13" s="95"/>
      <c r="OC13" s="95">
        <f t="shared" si="217"/>
        <v>0</v>
      </c>
      <c r="OD13" s="90">
        <v>2923.94</v>
      </c>
      <c r="OE13" s="90">
        <f t="shared" si="218"/>
        <v>5.03</v>
      </c>
      <c r="OF13" s="92">
        <f t="shared" si="219"/>
        <v>35087.279999999999</v>
      </c>
      <c r="OG13" s="96">
        <v>940.06</v>
      </c>
      <c r="OH13" s="96">
        <v>1.63</v>
      </c>
      <c r="OI13" s="90">
        <v>3841.04</v>
      </c>
      <c r="OJ13" s="90">
        <f t="shared" si="220"/>
        <v>6.61</v>
      </c>
      <c r="OK13" s="90">
        <f t="shared" si="221"/>
        <v>3864</v>
      </c>
      <c r="OL13" s="90">
        <f t="shared" si="222"/>
        <v>6.65</v>
      </c>
      <c r="OM13" s="90">
        <f t="shared" si="223"/>
        <v>-4.0000000000000036E-2</v>
      </c>
      <c r="ON13" s="90">
        <v>2899.55</v>
      </c>
      <c r="OO13" s="90">
        <f t="shared" si="224"/>
        <v>4.99</v>
      </c>
      <c r="OP13" s="90">
        <v>2900.98</v>
      </c>
      <c r="OQ13" s="90">
        <v>5.0199999999999996</v>
      </c>
      <c r="OR13" s="90">
        <f t="shared" si="225"/>
        <v>-2.9999999999999361E-2</v>
      </c>
      <c r="OS13" s="90">
        <f t="shared" si="226"/>
        <v>4.99</v>
      </c>
      <c r="OT13" s="90">
        <v>2899.55</v>
      </c>
      <c r="OU13" s="90">
        <f t="shared" si="227"/>
        <v>4.99</v>
      </c>
      <c r="OV13" s="97">
        <v>2336.83</v>
      </c>
      <c r="OW13" s="90">
        <f t="shared" si="228"/>
        <v>2336.83</v>
      </c>
      <c r="OX13" s="90">
        <f t="shared" si="229"/>
        <v>4.0199999999999996</v>
      </c>
      <c r="OY13" s="90">
        <f>OU13-1+0.03</f>
        <v>4.0200000000000005</v>
      </c>
      <c r="OZ13" s="90"/>
      <c r="PA13" s="90"/>
      <c r="PB13" s="95">
        <f t="shared" si="230"/>
        <v>0</v>
      </c>
      <c r="PC13" s="92">
        <f t="shared" si="231"/>
        <v>0</v>
      </c>
      <c r="PD13" s="90"/>
      <c r="PE13" s="95">
        <f t="shared" si="232"/>
        <v>0</v>
      </c>
      <c r="PF13" s="90">
        <f t="shared" si="233"/>
        <v>8604.0739869580993</v>
      </c>
      <c r="PG13" s="90">
        <f t="shared" si="234"/>
        <v>14.8</v>
      </c>
      <c r="PH13" s="90">
        <f t="shared" si="235"/>
        <v>9994.3983333333326</v>
      </c>
      <c r="PI13" s="90">
        <f t="shared" si="236"/>
        <v>17.190000000000001</v>
      </c>
      <c r="PJ13" s="90">
        <f t="shared" si="237"/>
        <v>9994.3983333333326</v>
      </c>
      <c r="PK13" s="90">
        <f t="shared" si="238"/>
        <v>17.190000000000001</v>
      </c>
      <c r="PL13" s="90"/>
      <c r="PM13" s="90">
        <f t="shared" si="239"/>
        <v>258.12</v>
      </c>
      <c r="PN13" s="90">
        <f t="shared" si="240"/>
        <v>0.44</v>
      </c>
      <c r="PO13" s="92">
        <f t="shared" si="241"/>
        <v>3097.44</v>
      </c>
      <c r="PP13" s="90">
        <f t="shared" si="242"/>
        <v>299.83</v>
      </c>
      <c r="PQ13" s="90">
        <f t="shared" si="243"/>
        <v>0.52</v>
      </c>
      <c r="PR13" s="90">
        <f t="shared" si="244"/>
        <v>299.83</v>
      </c>
      <c r="PS13" s="90">
        <f t="shared" si="245"/>
        <v>0.52</v>
      </c>
      <c r="PT13" s="90">
        <f t="shared" si="246"/>
        <v>8862.1939869581001</v>
      </c>
      <c r="PU13" s="90">
        <f t="shared" si="247"/>
        <v>15.25</v>
      </c>
      <c r="PV13" s="90">
        <f t="shared" si="248"/>
        <v>10294.228333333333</v>
      </c>
      <c r="PW13" s="90">
        <f t="shared" si="249"/>
        <v>17.71</v>
      </c>
      <c r="PX13" s="90">
        <f t="shared" si="250"/>
        <v>10294.228333333333</v>
      </c>
      <c r="PY13" s="90">
        <f t="shared" si="251"/>
        <v>17.71</v>
      </c>
      <c r="PZ13" s="90">
        <f t="shared" si="252"/>
        <v>89.52</v>
      </c>
      <c r="QA13" s="90">
        <f t="shared" si="253"/>
        <v>0.15</v>
      </c>
      <c r="QB13" s="92">
        <f t="shared" si="254"/>
        <v>1074.24</v>
      </c>
      <c r="QC13" s="90">
        <f t="shared" si="255"/>
        <v>103.98</v>
      </c>
      <c r="QD13" s="90">
        <f t="shared" si="256"/>
        <v>0.18</v>
      </c>
      <c r="QE13" s="90">
        <f t="shared" si="257"/>
        <v>103.98</v>
      </c>
      <c r="QF13" s="90">
        <f t="shared" si="258"/>
        <v>0.18</v>
      </c>
      <c r="QG13" s="90">
        <f t="shared" si="259"/>
        <v>8951.7139869581006</v>
      </c>
      <c r="QH13" s="90">
        <f t="shared" si="260"/>
        <v>15.4</v>
      </c>
      <c r="QI13" s="92">
        <f t="shared" si="261"/>
        <v>107420.56784349721</v>
      </c>
      <c r="QJ13" s="90">
        <f t="shared" si="262"/>
        <v>364.55036076249996</v>
      </c>
      <c r="QK13" s="98">
        <f t="shared" si="263"/>
        <v>0.25169999999999998</v>
      </c>
      <c r="QL13" s="90">
        <f t="shared" si="264"/>
        <v>146.31320999999997</v>
      </c>
      <c r="QM13" s="90">
        <f t="shared" si="265"/>
        <v>0.1128</v>
      </c>
      <c r="QN13" s="90">
        <f t="shared" si="266"/>
        <v>65.570639999999997</v>
      </c>
      <c r="QO13" s="90">
        <v>0.21869999999999998</v>
      </c>
      <c r="QP13" s="90">
        <v>0.14579999999999999</v>
      </c>
      <c r="QQ13" s="97">
        <f t="shared" si="267"/>
        <v>211.88384999999997</v>
      </c>
      <c r="QR13" s="97">
        <v>210.53519999999995</v>
      </c>
      <c r="QS13" s="97">
        <f t="shared" si="268"/>
        <v>1.3486500000000206</v>
      </c>
      <c r="QT13" s="90"/>
      <c r="QU13" s="90">
        <f t="shared" si="269"/>
        <v>0.1128</v>
      </c>
      <c r="QV13" s="90">
        <f t="shared" si="270"/>
        <v>65.570639999999997</v>
      </c>
      <c r="QW13" s="90">
        <f t="shared" si="271"/>
        <v>211.88384999999997</v>
      </c>
      <c r="QX13" s="90">
        <f t="shared" si="272"/>
        <v>0.36449999999999999</v>
      </c>
      <c r="QY13" s="90"/>
      <c r="QZ13" s="90"/>
      <c r="RA13" s="90"/>
      <c r="RB13" s="90">
        <v>2149.65</v>
      </c>
      <c r="RC13" s="97">
        <f t="shared" si="273"/>
        <v>8951.7139869581006</v>
      </c>
      <c r="RD13" s="97">
        <f t="shared" si="274"/>
        <v>15.4</v>
      </c>
      <c r="RE13" s="90">
        <f t="shared" si="275"/>
        <v>10398.208333333332</v>
      </c>
      <c r="RF13" s="90">
        <f t="shared" si="276"/>
        <v>17.89</v>
      </c>
      <c r="RG13" s="90">
        <f t="shared" si="277"/>
        <v>116.24431448992854</v>
      </c>
      <c r="RH13" s="90">
        <f t="shared" si="278"/>
        <v>10398.208333333332</v>
      </c>
      <c r="RI13" s="90">
        <f t="shared" si="279"/>
        <v>17.89</v>
      </c>
      <c r="RJ13" s="90">
        <v>17.64</v>
      </c>
      <c r="RK13" s="90">
        <v>0</v>
      </c>
      <c r="RL13" s="90">
        <f t="shared" si="280"/>
        <v>0.25</v>
      </c>
      <c r="RM13" s="90">
        <f t="shared" si="281"/>
        <v>106.10551274451687</v>
      </c>
      <c r="RN13" s="90">
        <f t="shared" si="282"/>
        <v>5990.3639869580993</v>
      </c>
      <c r="RO13" s="90"/>
      <c r="RP13" s="90"/>
      <c r="RQ13" s="99">
        <v>380</v>
      </c>
      <c r="RR13" s="90">
        <f t="shared" si="283"/>
        <v>6027.7739869580992</v>
      </c>
      <c r="RS13" s="90">
        <f t="shared" si="284"/>
        <v>10.369471850951488</v>
      </c>
      <c r="RT13" s="90">
        <v>11.28</v>
      </c>
      <c r="RU13" s="90">
        <f t="shared" si="285"/>
        <v>6557.0639999999994</v>
      </c>
      <c r="RV13" s="90">
        <f t="shared" si="286"/>
        <v>0.62712946974453809</v>
      </c>
      <c r="RW13" s="100">
        <v>10.43</v>
      </c>
      <c r="RX13" s="90">
        <f t="shared" si="287"/>
        <v>10.951499999999999</v>
      </c>
      <c r="RY13" s="90">
        <f t="shared" si="288"/>
        <v>6366.1069499999994</v>
      </c>
      <c r="RZ13" s="90">
        <f t="shared" si="289"/>
        <v>1679.5163456158832</v>
      </c>
      <c r="SA13" s="90">
        <f t="shared" si="290"/>
        <v>751.41226457597429</v>
      </c>
      <c r="SB13" s="90">
        <f t="shared" si="291"/>
        <v>1136.2298317367311</v>
      </c>
      <c r="SC13" s="90">
        <f t="shared" si="292"/>
        <v>2064.3339127766399</v>
      </c>
      <c r="SD13" s="90">
        <f t="shared" si="293"/>
        <v>2064.3339127766399</v>
      </c>
      <c r="SE13" s="90">
        <f t="shared" si="294"/>
        <v>2090.0788765124071</v>
      </c>
      <c r="SF13" s="90">
        <f t="shared" si="295"/>
        <v>2059.0626755702751</v>
      </c>
      <c r="SG13" s="90">
        <f t="shared" si="296"/>
        <v>5.2712372063647308</v>
      </c>
      <c r="SH13" s="90">
        <f t="shared" si="297"/>
        <v>2059.1811676450961</v>
      </c>
      <c r="SI13" s="90">
        <f t="shared" si="298"/>
        <v>3.5512367328000001</v>
      </c>
      <c r="SJ13" s="90">
        <f t="shared" si="299"/>
        <v>3.5421687176505681</v>
      </c>
      <c r="SK13" s="90"/>
      <c r="SL13" s="90"/>
      <c r="SM13" s="90"/>
      <c r="SN13" s="90">
        <f t="shared" si="300"/>
        <v>2204.37</v>
      </c>
      <c r="SO13" s="90" t="e">
        <f>RU13-#REF!-#REF!-HZ13-LT13-LZ13-MF13-ML13-QL13-QN13-SD13</f>
        <v>#REF!</v>
      </c>
      <c r="SP13" s="90">
        <f t="shared" si="301"/>
        <v>2158.0099999999998</v>
      </c>
      <c r="SQ13" s="90">
        <f t="shared" si="302"/>
        <v>2278.6939869580997</v>
      </c>
      <c r="SR13" s="90">
        <f t="shared" si="303"/>
        <v>3.7123860313091344</v>
      </c>
      <c r="SS13" s="90">
        <f t="shared" si="304"/>
        <v>3.9199965369999998</v>
      </c>
      <c r="ST13" s="90">
        <f t="shared" si="305"/>
        <v>2281.701</v>
      </c>
      <c r="SU13" s="90">
        <v>3.7216932132963998</v>
      </c>
      <c r="SV13" s="90">
        <f t="shared" si="306"/>
        <v>3.93</v>
      </c>
      <c r="SW13" s="90">
        <v>3.92</v>
      </c>
      <c r="SX13" s="90">
        <f t="shared" si="307"/>
        <v>2278.6999999999998</v>
      </c>
      <c r="SY13" s="90">
        <v>3.7216932132963998</v>
      </c>
      <c r="SZ13" s="90">
        <f t="shared" si="308"/>
        <v>2163.4202648891969</v>
      </c>
      <c r="TA13" s="90">
        <f t="shared" si="309"/>
        <v>5.4102648891971512</v>
      </c>
      <c r="TB13" s="90">
        <v>0</v>
      </c>
      <c r="TC13" s="90">
        <f t="shared" si="310"/>
        <v>1097.7751499999995</v>
      </c>
      <c r="TD13" s="90" t="e">
        <f>#REF!+#REF!</f>
        <v>#REF!</v>
      </c>
      <c r="TE13" s="90" t="e">
        <f t="shared" si="311"/>
        <v>#REF!</v>
      </c>
      <c r="TF13" s="90">
        <v>811.24279999999862</v>
      </c>
      <c r="TG13" s="90">
        <f t="shared" si="312"/>
        <v>16.741870294387848</v>
      </c>
      <c r="TH13" s="95"/>
      <c r="TI13" s="95"/>
      <c r="TJ13" s="95"/>
      <c r="TK13" s="95"/>
      <c r="TL13" s="95"/>
      <c r="TM13" s="95">
        <f t="shared" si="313"/>
        <v>0</v>
      </c>
      <c r="TN13" s="95">
        <f t="shared" si="314"/>
        <v>6557.0639999999994</v>
      </c>
      <c r="TO13" s="95">
        <f t="shared" si="315"/>
        <v>16.741870294387848</v>
      </c>
      <c r="TP13" s="95"/>
      <c r="TQ13" s="95">
        <f t="shared" si="316"/>
        <v>11.28</v>
      </c>
      <c r="TR13" s="95"/>
      <c r="TS13" s="95"/>
      <c r="TT13" s="95"/>
      <c r="TU13" s="95"/>
      <c r="TV13" s="95"/>
      <c r="TW13" s="95"/>
      <c r="TX13" s="95"/>
      <c r="TY13" s="95"/>
      <c r="TZ13" s="95">
        <f t="shared" si="317"/>
        <v>3.2313829787234045</v>
      </c>
      <c r="UA13" s="95">
        <f t="shared" si="318"/>
        <v>0.49632000000000004</v>
      </c>
      <c r="UB13" s="90">
        <v>0</v>
      </c>
      <c r="UC13" s="90">
        <f t="shared" si="319"/>
        <v>0</v>
      </c>
      <c r="UD13" s="90">
        <f t="shared" si="320"/>
        <v>0</v>
      </c>
      <c r="UE13" s="90">
        <f t="shared" si="321"/>
        <v>0</v>
      </c>
      <c r="UF13" s="90">
        <f t="shared" si="322"/>
        <v>6557.0639999999994</v>
      </c>
      <c r="UG13" s="91">
        <f t="shared" si="323"/>
        <v>0</v>
      </c>
      <c r="UH13" s="95">
        <f t="shared" si="324"/>
        <v>16.741870294387848</v>
      </c>
      <c r="UI13" s="95">
        <f t="shared" si="325"/>
        <v>6557.0639999999994</v>
      </c>
      <c r="UJ13" s="101">
        <f t="shared" si="326"/>
        <v>0</v>
      </c>
      <c r="UK13" s="101">
        <f t="shared" si="327"/>
        <v>16.741870294387848</v>
      </c>
      <c r="UL13" s="90" t="e">
        <f>(#REF!+#REF!+HZ13+LT13+LZ13+MF13+ML13+QL13+QN13+SN13+TC13+TM13+UC13)/I13</f>
        <v>#REF!</v>
      </c>
      <c r="UN13" s="90" t="e">
        <f>#REF!/I13</f>
        <v>#REF!</v>
      </c>
      <c r="UO13" s="90" t="e">
        <f>#REF!/I13</f>
        <v>#REF!</v>
      </c>
      <c r="UP13" s="90">
        <v>1.1499999999999999</v>
      </c>
      <c r="UQ13" s="90" t="e">
        <f t="shared" si="328"/>
        <v>#REF!</v>
      </c>
      <c r="UR13" s="90">
        <f t="shared" si="329"/>
        <v>6027.7739869580992</v>
      </c>
      <c r="US13" s="90">
        <f t="shared" si="330"/>
        <v>7629.4833333333327</v>
      </c>
      <c r="UT13" s="90">
        <f t="shared" si="331"/>
        <v>7629.4833333333327</v>
      </c>
      <c r="UU13" s="90">
        <f t="shared" si="332"/>
        <v>7896.8833333333323</v>
      </c>
      <c r="UV13" s="90">
        <f t="shared" si="333"/>
        <v>7793.9783333333326</v>
      </c>
      <c r="UW13" s="90">
        <f t="shared" si="334"/>
        <v>6.13</v>
      </c>
      <c r="UX13" s="90">
        <f t="shared" si="335"/>
        <v>3.92</v>
      </c>
      <c r="UY13" s="90">
        <f t="shared" si="336"/>
        <v>3.7921383106829523</v>
      </c>
      <c r="UZ13" s="100">
        <f t="shared" si="337"/>
        <v>3.5512367328000001</v>
      </c>
      <c r="VA13" s="90">
        <f t="shared" si="338"/>
        <v>0.59</v>
      </c>
      <c r="VB13" s="90">
        <f t="shared" si="339"/>
        <v>1.62</v>
      </c>
      <c r="VC13" s="90">
        <f t="shared" si="340"/>
        <v>0</v>
      </c>
      <c r="VD13" s="90">
        <f t="shared" si="341"/>
        <v>0</v>
      </c>
      <c r="VE13" s="90">
        <f t="shared" si="342"/>
        <v>0</v>
      </c>
      <c r="VF13" s="90">
        <f t="shared" si="343"/>
        <v>0</v>
      </c>
      <c r="VG13" s="90">
        <f t="shared" si="344"/>
        <v>0</v>
      </c>
      <c r="VH13" s="90">
        <f t="shared" si="345"/>
        <v>0</v>
      </c>
      <c r="VI13" s="90">
        <f t="shared" si="346"/>
        <v>0</v>
      </c>
      <c r="VJ13" s="90">
        <f t="shared" si="347"/>
        <v>0</v>
      </c>
      <c r="VK13" s="90">
        <f t="shared" si="348"/>
        <v>0.88</v>
      </c>
      <c r="VL13" s="90">
        <f t="shared" si="349"/>
        <v>3.64</v>
      </c>
      <c r="VM13" s="90">
        <f t="shared" si="350"/>
        <v>5.03</v>
      </c>
      <c r="VN13" s="90">
        <f t="shared" si="351"/>
        <v>0</v>
      </c>
      <c r="VO13" s="90">
        <f t="shared" si="352"/>
        <v>5.03</v>
      </c>
      <c r="VP13" s="97">
        <v>0</v>
      </c>
      <c r="VQ13" s="97">
        <v>5.03</v>
      </c>
      <c r="VR13" s="90">
        <f t="shared" si="353"/>
        <v>0.44</v>
      </c>
      <c r="VS13" s="90">
        <f t="shared" si="354"/>
        <v>0.15</v>
      </c>
      <c r="VT13" s="90">
        <v>0.11989898989898991</v>
      </c>
      <c r="VU13" s="90">
        <f t="shared" si="355"/>
        <v>0.15390000000000001</v>
      </c>
      <c r="VV13" s="90">
        <v>0.38175323599898991</v>
      </c>
      <c r="VW13" s="90">
        <f t="shared" si="356"/>
        <v>0.59</v>
      </c>
      <c r="VX13" s="90">
        <f t="shared" si="357"/>
        <v>15.39</v>
      </c>
      <c r="VY13" s="90">
        <f t="shared" si="358"/>
        <v>15.39</v>
      </c>
      <c r="VZ13" s="90">
        <f t="shared" si="359"/>
        <v>0</v>
      </c>
      <c r="WA13" s="90"/>
      <c r="WB13" s="90">
        <f t="shared" si="360"/>
        <v>15.39</v>
      </c>
      <c r="WC13" s="90">
        <f t="shared" si="361"/>
        <v>0</v>
      </c>
      <c r="WD13" s="90"/>
      <c r="WE13" s="90">
        <v>15.41</v>
      </c>
      <c r="WF13" s="90"/>
      <c r="WG13" s="90">
        <f t="shared" si="362"/>
        <v>8946.2070000000003</v>
      </c>
      <c r="WH13" s="90">
        <f t="shared" si="363"/>
        <v>8946.2070000000003</v>
      </c>
      <c r="WI13" s="90">
        <f t="shared" si="364"/>
        <v>8951.7139869581006</v>
      </c>
      <c r="WJ13" s="90">
        <f t="shared" si="365"/>
        <v>6027.7739869580992</v>
      </c>
      <c r="WK13" s="97">
        <v>2905.33</v>
      </c>
      <c r="WL13" s="97">
        <v>5.03</v>
      </c>
      <c r="WM13" s="90">
        <f t="shared" si="366"/>
        <v>2923.94</v>
      </c>
      <c r="WN13" s="90">
        <f t="shared" si="367"/>
        <v>5.03</v>
      </c>
      <c r="WO13" s="90"/>
      <c r="WP13" s="97">
        <v>15.41</v>
      </c>
      <c r="WQ13" s="90">
        <f t="shared" si="368"/>
        <v>15.39</v>
      </c>
      <c r="WR13" s="91">
        <f t="shared" si="369"/>
        <v>136.43617021276597</v>
      </c>
      <c r="WS13" s="91">
        <f t="shared" si="370"/>
        <v>136.43617021276597</v>
      </c>
      <c r="WT13" s="90">
        <f t="shared" si="371"/>
        <v>8957.83</v>
      </c>
      <c r="WU13" s="90">
        <f t="shared" si="372"/>
        <v>8951.7139869581006</v>
      </c>
      <c r="WV13" s="90">
        <f t="shared" si="373"/>
        <v>6.1160130418993504</v>
      </c>
      <c r="WW13" s="90"/>
      <c r="WX13" s="90"/>
      <c r="WY13" s="90"/>
      <c r="WZ13" s="90">
        <f t="shared" si="374"/>
        <v>1.6719959595959595</v>
      </c>
      <c r="XA13" s="90">
        <v>0</v>
      </c>
      <c r="XB13" s="90">
        <f t="shared" si="375"/>
        <v>1.6719959595959595</v>
      </c>
      <c r="XC13" s="90">
        <f t="shared" si="376"/>
        <v>0.35759999999999997</v>
      </c>
      <c r="XD13" s="90">
        <f t="shared" si="377"/>
        <v>0.1204040404040404</v>
      </c>
      <c r="XE13" s="90"/>
      <c r="XF13" s="90">
        <f t="shared" si="378"/>
        <v>11.92</v>
      </c>
      <c r="XG13" s="90">
        <v>1.4045062326869784</v>
      </c>
      <c r="XH13" s="20">
        <v>11.28</v>
      </c>
      <c r="XI13" s="20">
        <v>0</v>
      </c>
      <c r="XJ13" s="20"/>
      <c r="XK13" s="20"/>
      <c r="XL13" s="20"/>
      <c r="XM13" s="20">
        <f t="shared" si="379"/>
        <v>11.28</v>
      </c>
      <c r="XN13" s="91">
        <f t="shared" si="380"/>
        <v>136.43617021276597</v>
      </c>
      <c r="XO13" s="20">
        <f t="shared" si="381"/>
        <v>11.28</v>
      </c>
      <c r="XP13" s="90">
        <f t="shared" si="382"/>
        <v>11.28</v>
      </c>
      <c r="XQ13" s="91">
        <f t="shared" si="383"/>
        <v>136.43617021276597</v>
      </c>
      <c r="XR13" s="102"/>
      <c r="XS13" s="90">
        <f t="shared" si="384"/>
        <v>3.64</v>
      </c>
      <c r="XT13" s="90">
        <f t="shared" si="385"/>
        <v>6.13</v>
      </c>
      <c r="XU13" s="90">
        <f t="shared" si="386"/>
        <v>3.92</v>
      </c>
      <c r="XV13" s="90">
        <f t="shared" si="387"/>
        <v>0.59</v>
      </c>
      <c r="XW13" s="90">
        <f t="shared" si="388"/>
        <v>0.59</v>
      </c>
      <c r="XX13" s="90">
        <f t="shared" si="389"/>
        <v>0</v>
      </c>
      <c r="XY13" s="90">
        <f t="shared" si="390"/>
        <v>1.62</v>
      </c>
      <c r="XZ13" s="90">
        <f t="shared" si="391"/>
        <v>0</v>
      </c>
      <c r="YA13" s="90">
        <f t="shared" si="392"/>
        <v>0</v>
      </c>
      <c r="YB13" s="90">
        <f t="shared" si="393"/>
        <v>0</v>
      </c>
      <c r="YC13" s="90">
        <f t="shared" si="393"/>
        <v>0</v>
      </c>
      <c r="YD13" s="90">
        <f t="shared" si="394"/>
        <v>1.62</v>
      </c>
      <c r="YE13" s="90">
        <f t="shared" si="395"/>
        <v>5.03</v>
      </c>
      <c r="YF13" s="90">
        <f t="shared" si="396"/>
        <v>0.59</v>
      </c>
      <c r="YG13" s="90">
        <f t="shared" si="397"/>
        <v>15.39</v>
      </c>
      <c r="YI13" s="103" t="s">
        <v>452</v>
      </c>
      <c r="YK13" s="90">
        <f t="shared" si="398"/>
        <v>1.07</v>
      </c>
      <c r="YL13" s="90">
        <f t="shared" si="399"/>
        <v>0.59</v>
      </c>
      <c r="YM13" s="90">
        <f t="shared" si="399"/>
        <v>1.62</v>
      </c>
      <c r="YN13" s="90">
        <f t="shared" si="400"/>
        <v>3.64</v>
      </c>
      <c r="YO13" s="90">
        <f t="shared" si="401"/>
        <v>8.4700000000000006</v>
      </c>
      <c r="YP13" s="90">
        <f t="shared" si="402"/>
        <v>0</v>
      </c>
      <c r="YQ13" s="90">
        <f t="shared" si="403"/>
        <v>15.39</v>
      </c>
      <c r="YR13" s="90">
        <f t="shared" si="404"/>
        <v>0</v>
      </c>
      <c r="YS13" s="104">
        <f t="shared" si="405"/>
        <v>15.39</v>
      </c>
      <c r="YT13" s="104">
        <f t="shared" si="406"/>
        <v>0</v>
      </c>
      <c r="YY13" s="90">
        <f t="shared" si="407"/>
        <v>8.33</v>
      </c>
      <c r="YZ13" s="90">
        <f t="shared" si="408"/>
        <v>4.18</v>
      </c>
      <c r="ZA13" s="90">
        <f t="shared" si="409"/>
        <v>0.56000000000000005</v>
      </c>
      <c r="ZB13" s="90">
        <f t="shared" si="410"/>
        <v>3.59</v>
      </c>
      <c r="ZC13" s="90">
        <f t="shared" si="411"/>
        <v>0</v>
      </c>
      <c r="ZD13" s="90">
        <f t="shared" si="412"/>
        <v>0</v>
      </c>
      <c r="ZE13" s="90">
        <f t="shared" si="413"/>
        <v>0</v>
      </c>
      <c r="ZF13" s="90">
        <f t="shared" si="414"/>
        <v>0</v>
      </c>
      <c r="ZG13" s="90">
        <f t="shared" si="415"/>
        <v>0</v>
      </c>
      <c r="ZH13" s="90">
        <f t="shared" si="416"/>
        <v>0</v>
      </c>
      <c r="ZI13" s="90">
        <f t="shared" si="417"/>
        <v>0</v>
      </c>
      <c r="ZJ13" s="90">
        <f t="shared" si="418"/>
        <v>0</v>
      </c>
      <c r="ZK13" s="90">
        <f t="shared" si="419"/>
        <v>0</v>
      </c>
      <c r="ZL13" s="90">
        <f t="shared" si="420"/>
        <v>0.02</v>
      </c>
      <c r="ZM13" s="90">
        <f t="shared" si="421"/>
        <v>4.1100000000000003</v>
      </c>
      <c r="ZN13" s="90">
        <f t="shared" si="422"/>
        <v>7.6099999999999994</v>
      </c>
      <c r="ZO13" s="90">
        <f t="shared" si="423"/>
        <v>6.65</v>
      </c>
      <c r="ZP13" s="90">
        <f t="shared" si="424"/>
        <v>4.0199999999999996</v>
      </c>
      <c r="ZQ13" s="90">
        <f t="shared" si="425"/>
        <v>0</v>
      </c>
      <c r="ZR13" s="90">
        <f t="shared" si="426"/>
        <v>4.0199999999999996</v>
      </c>
      <c r="ZS13" s="97">
        <v>227</v>
      </c>
      <c r="ZT13" s="97">
        <v>230.38</v>
      </c>
      <c r="ZU13" s="90">
        <f t="shared" si="427"/>
        <v>0.52</v>
      </c>
      <c r="ZV13" s="90">
        <f t="shared" si="428"/>
        <v>0.18</v>
      </c>
      <c r="ZW13" s="90">
        <v>0.11989898989898991</v>
      </c>
      <c r="ZX13" s="90">
        <f t="shared" si="429"/>
        <v>0.1716</v>
      </c>
      <c r="ZY13" s="90">
        <v>0.38175323599898991</v>
      </c>
      <c r="ZZ13" s="90">
        <f t="shared" si="430"/>
        <v>0.7</v>
      </c>
      <c r="AAA13" s="90">
        <f t="shared" si="431"/>
        <v>17.16</v>
      </c>
      <c r="AAB13" s="90">
        <f t="shared" si="432"/>
        <v>17.16</v>
      </c>
      <c r="AAC13" s="90">
        <f t="shared" si="433"/>
        <v>0</v>
      </c>
      <c r="AAD13" s="90"/>
      <c r="AAE13" s="90">
        <f t="shared" si="434"/>
        <v>17.16</v>
      </c>
      <c r="AAF13" s="90">
        <v>15.41</v>
      </c>
      <c r="AAG13" s="90">
        <f t="shared" si="435"/>
        <v>111.5009746588694</v>
      </c>
      <c r="AAH13" s="90">
        <f t="shared" si="436"/>
        <v>0</v>
      </c>
      <c r="AAI13" s="90">
        <v>0</v>
      </c>
      <c r="AAJ13" s="90"/>
      <c r="AAK13" s="1">
        <v>16.86</v>
      </c>
      <c r="AAL13" s="104">
        <f t="shared" si="437"/>
        <v>0.30000000000000071</v>
      </c>
      <c r="AAM13" s="103" t="s">
        <v>453</v>
      </c>
      <c r="AAN13" s="105">
        <v>8.2799999999999994</v>
      </c>
      <c r="AAO13" s="90">
        <f t="shared" si="438"/>
        <v>9.07</v>
      </c>
      <c r="AAP13" s="90">
        <v>4.21</v>
      </c>
      <c r="AAQ13" s="90">
        <f t="shared" si="439"/>
        <v>4.18</v>
      </c>
      <c r="AAR13" s="90">
        <v>0.56000000000000005</v>
      </c>
      <c r="AAS13" s="90">
        <f t="shared" si="440"/>
        <v>0.84</v>
      </c>
      <c r="AAT13" s="90">
        <f t="shared" si="441"/>
        <v>149.99999999999997</v>
      </c>
      <c r="AAU13" s="90">
        <v>3.51</v>
      </c>
      <c r="AAV13" s="90">
        <f t="shared" si="442"/>
        <v>3.59</v>
      </c>
      <c r="AAW13" s="90">
        <f t="shared" si="443"/>
        <v>102.27920227920228</v>
      </c>
      <c r="AAX13" s="90">
        <f t="shared" si="444"/>
        <v>0.46</v>
      </c>
      <c r="AAY13" s="90">
        <f t="shared" si="445"/>
        <v>0</v>
      </c>
      <c r="AAZ13" s="90">
        <f t="shared" si="446"/>
        <v>0</v>
      </c>
      <c r="ABA13" s="90">
        <f t="shared" si="447"/>
        <v>0</v>
      </c>
      <c r="ABB13" s="90">
        <f t="shared" si="448"/>
        <v>0</v>
      </c>
      <c r="ABC13" s="90">
        <v>0</v>
      </c>
      <c r="ABD13" s="90">
        <f t="shared" si="449"/>
        <v>0</v>
      </c>
      <c r="ABE13" s="90"/>
      <c r="ABF13" s="90">
        <v>0</v>
      </c>
      <c r="ABG13" s="90">
        <f t="shared" si="450"/>
        <v>0</v>
      </c>
      <c r="ABH13" s="90"/>
      <c r="ABI13" s="90">
        <f t="shared" si="451"/>
        <v>0</v>
      </c>
      <c r="ABJ13" s="90">
        <f t="shared" si="452"/>
        <v>0</v>
      </c>
      <c r="ABK13" s="90">
        <v>0</v>
      </c>
      <c r="ABL13" s="90">
        <f t="shared" si="453"/>
        <v>0</v>
      </c>
      <c r="ABM13" s="90">
        <f t="shared" si="454"/>
        <v>0</v>
      </c>
      <c r="ABN13" s="90">
        <f t="shared" si="455"/>
        <v>0.02</v>
      </c>
      <c r="ABO13" s="90">
        <v>3.91</v>
      </c>
      <c r="ABP13" s="90">
        <f t="shared" si="456"/>
        <v>4.1100000000000003</v>
      </c>
      <c r="ABQ13" s="90">
        <f t="shared" si="457"/>
        <v>105.1150895140665</v>
      </c>
      <c r="ABR13" s="90">
        <f t="shared" si="458"/>
        <v>7.6099999999999994</v>
      </c>
      <c r="ABS13" s="90">
        <f t="shared" si="459"/>
        <v>6.65</v>
      </c>
      <c r="ABT13" s="90">
        <v>4.0199999999999996</v>
      </c>
      <c r="ABU13" s="90">
        <f t="shared" si="460"/>
        <v>4.0199999999999996</v>
      </c>
      <c r="ABV13" s="90">
        <f t="shared" si="461"/>
        <v>100</v>
      </c>
      <c r="ABW13" s="90">
        <f t="shared" si="462"/>
        <v>0</v>
      </c>
      <c r="ABX13" s="90">
        <f t="shared" si="463"/>
        <v>4.0199999999999996</v>
      </c>
      <c r="ABY13" s="97">
        <v>227</v>
      </c>
      <c r="ABZ13" s="97">
        <v>230.38</v>
      </c>
      <c r="ACA13" s="90">
        <f t="shared" si="464"/>
        <v>0.52</v>
      </c>
      <c r="ACB13" s="90">
        <f t="shared" si="465"/>
        <v>0.18</v>
      </c>
      <c r="ACC13" s="90">
        <v>0.11989898989898991</v>
      </c>
      <c r="ACD13" s="90">
        <f t="shared" si="466"/>
        <v>0.17439999999999997</v>
      </c>
      <c r="ACE13" s="90">
        <v>0.38175323599898991</v>
      </c>
      <c r="ACF13" s="90">
        <v>0.66</v>
      </c>
      <c r="ACG13" s="90">
        <f t="shared" si="467"/>
        <v>0.7</v>
      </c>
      <c r="ACH13" s="90">
        <f t="shared" si="468"/>
        <v>106.06060606060606</v>
      </c>
      <c r="ACI13" s="90">
        <f t="shared" si="469"/>
        <v>17.899999999999999</v>
      </c>
      <c r="ACJ13" s="90">
        <f t="shared" si="470"/>
        <v>17.439999999999998</v>
      </c>
      <c r="ACK13" s="90">
        <f t="shared" si="471"/>
        <v>-0.46000000000000085</v>
      </c>
      <c r="ACL13" s="90"/>
      <c r="ACM13" s="90">
        <f t="shared" si="472"/>
        <v>17.899999999999999</v>
      </c>
      <c r="ACN13" s="90">
        <f t="shared" si="473"/>
        <v>0</v>
      </c>
      <c r="ACO13" s="90">
        <f t="shared" si="474"/>
        <v>17.899999999999999</v>
      </c>
      <c r="ACP13" s="90">
        <v>16.87</v>
      </c>
      <c r="ACQ13" s="90">
        <f t="shared" si="475"/>
        <v>106.10551274451687</v>
      </c>
      <c r="ACR13" s="90">
        <f t="shared" si="476"/>
        <v>0</v>
      </c>
      <c r="ACS13" s="90">
        <v>0</v>
      </c>
      <c r="ACT13" s="90"/>
      <c r="ACU13" s="90">
        <f t="shared" si="477"/>
        <v>17.730370000000001</v>
      </c>
      <c r="ACV13" s="90">
        <f t="shared" si="478"/>
        <v>-0.16962999999999795</v>
      </c>
      <c r="ACX13" s="106" t="s">
        <v>454</v>
      </c>
      <c r="ACY13" s="107"/>
      <c r="ACZ13" s="107">
        <v>140000</v>
      </c>
      <c r="ADB13" s="90">
        <f t="shared" si="479"/>
        <v>4.1100000000000003</v>
      </c>
      <c r="ADC13" s="90">
        <f t="shared" si="480"/>
        <v>9.07</v>
      </c>
      <c r="ADD13" s="90">
        <f t="shared" si="481"/>
        <v>4.18</v>
      </c>
      <c r="ADE13" s="90">
        <f t="shared" si="482"/>
        <v>1.3</v>
      </c>
      <c r="ADF13" s="90">
        <f t="shared" si="483"/>
        <v>0.84</v>
      </c>
      <c r="ADG13" s="90">
        <f t="shared" si="484"/>
        <v>0.46</v>
      </c>
      <c r="ADH13" s="90">
        <f t="shared" si="484"/>
        <v>0</v>
      </c>
      <c r="ADI13" s="90">
        <f t="shared" si="484"/>
        <v>0</v>
      </c>
      <c r="ADJ13" s="90">
        <f t="shared" si="485"/>
        <v>3.59</v>
      </c>
      <c r="ADK13" s="90">
        <f t="shared" si="486"/>
        <v>0</v>
      </c>
      <c r="ADL13" s="90">
        <f t="shared" si="487"/>
        <v>0</v>
      </c>
      <c r="ADM13" s="90">
        <f t="shared" si="488"/>
        <v>0</v>
      </c>
      <c r="ADN13" s="90">
        <f t="shared" si="488"/>
        <v>0</v>
      </c>
      <c r="ADO13" s="90">
        <f t="shared" si="489"/>
        <v>3.59</v>
      </c>
      <c r="ADP13" s="90">
        <f t="shared" si="490"/>
        <v>4.0199999999999996</v>
      </c>
      <c r="ADQ13" s="90">
        <f t="shared" si="491"/>
        <v>0.7</v>
      </c>
      <c r="ADR13" s="90">
        <f t="shared" si="492"/>
        <v>17.899999999999999</v>
      </c>
      <c r="ADU13" s="90">
        <f t="shared" si="493"/>
        <v>1.1499999999999999</v>
      </c>
      <c r="ADV13" s="90">
        <f t="shared" si="494"/>
        <v>0.84</v>
      </c>
      <c r="ADW13" s="90">
        <f t="shared" si="495"/>
        <v>3.59</v>
      </c>
      <c r="ADX13" s="90">
        <f t="shared" si="496"/>
        <v>4.1100000000000003</v>
      </c>
      <c r="ADY13" s="90">
        <f t="shared" si="497"/>
        <v>7.7499999999999991</v>
      </c>
      <c r="ADZ13" s="90">
        <f t="shared" si="498"/>
        <v>0</v>
      </c>
      <c r="AEA13" s="90">
        <f t="shared" si="499"/>
        <v>17.899999999999999</v>
      </c>
      <c r="AEB13" s="90">
        <f t="shared" si="500"/>
        <v>0</v>
      </c>
      <c r="AEC13" s="104">
        <f t="shared" si="501"/>
        <v>17.440000000000001</v>
      </c>
      <c r="AED13" s="104">
        <f t="shared" si="502"/>
        <v>0.4599999999999973</v>
      </c>
      <c r="AEG13" s="1">
        <v>8.2799999999999994</v>
      </c>
      <c r="AEH13" s="1">
        <v>4.21</v>
      </c>
      <c r="AEI13" s="1">
        <v>0.56000000000000005</v>
      </c>
      <c r="AEJ13" s="1">
        <v>3.51</v>
      </c>
      <c r="AEK13" s="1">
        <v>0</v>
      </c>
      <c r="AEL13" s="1">
        <v>0</v>
      </c>
      <c r="AEM13" s="1">
        <v>0</v>
      </c>
      <c r="AEN13" s="1">
        <v>0</v>
      </c>
      <c r="AEO13" s="1">
        <v>0</v>
      </c>
      <c r="AEP13" s="1">
        <v>0</v>
      </c>
      <c r="AEQ13" s="1">
        <v>0</v>
      </c>
      <c r="AER13" s="1">
        <v>0</v>
      </c>
      <c r="AES13" s="1">
        <v>0</v>
      </c>
      <c r="AET13" s="1">
        <v>0</v>
      </c>
      <c r="AEU13" s="1">
        <v>0</v>
      </c>
      <c r="AEV13" s="1">
        <v>0.02</v>
      </c>
      <c r="AEW13" s="1">
        <v>3.91</v>
      </c>
      <c r="AEX13" s="1">
        <v>7.5299999999999994</v>
      </c>
      <c r="AEY13" s="1">
        <v>6.65</v>
      </c>
      <c r="AEZ13" s="1">
        <v>4.0199999999999996</v>
      </c>
      <c r="AFA13" s="1">
        <v>0</v>
      </c>
      <c r="AFB13" s="1">
        <v>4.0199999999999996</v>
      </c>
      <c r="AFC13" s="1">
        <v>227</v>
      </c>
      <c r="AFD13" s="1">
        <v>230.38</v>
      </c>
      <c r="AFE13" s="1">
        <v>0.49</v>
      </c>
      <c r="AFF13" s="1">
        <v>0.17</v>
      </c>
      <c r="AFG13" s="1">
        <v>0.11989898989898991</v>
      </c>
      <c r="AFH13" s="1">
        <v>0.16870000000000002</v>
      </c>
      <c r="AFI13" s="1">
        <v>0.38175323599898991</v>
      </c>
      <c r="AFJ13" s="1">
        <v>0.66</v>
      </c>
      <c r="AFK13" s="1">
        <v>16.87</v>
      </c>
      <c r="AFL13" s="1">
        <v>16.87</v>
      </c>
      <c r="AFM13" s="1">
        <v>0</v>
      </c>
      <c r="AFO13" s="1">
        <v>16.87</v>
      </c>
      <c r="AFP13" s="1">
        <v>0</v>
      </c>
      <c r="AFQ13" s="1">
        <v>16.850000000000001</v>
      </c>
      <c r="AFX13" s="1">
        <v>17.63</v>
      </c>
    </row>
    <row r="14" spans="1:856" s="1" customFormat="1" ht="63.75" customHeight="1">
      <c r="A14" s="88">
        <v>6</v>
      </c>
      <c r="B14" s="20"/>
      <c r="C14" s="89" t="s">
        <v>455</v>
      </c>
      <c r="D14" s="20"/>
      <c r="E14" s="20" t="s">
        <v>437</v>
      </c>
      <c r="F14" s="20" t="s">
        <v>438</v>
      </c>
      <c r="G14" s="20">
        <v>0.8</v>
      </c>
      <c r="H14" s="20">
        <v>567.79999999999995</v>
      </c>
      <c r="I14" s="20">
        <f>567.8+1.1</f>
        <v>568.9</v>
      </c>
      <c r="J14" s="20">
        <f t="shared" si="0"/>
        <v>455.12</v>
      </c>
      <c r="K14" s="20">
        <v>12</v>
      </c>
      <c r="L14" s="20"/>
      <c r="M14" s="20"/>
      <c r="N14" s="20"/>
      <c r="O14" s="90">
        <f t="shared" si="1"/>
        <v>0</v>
      </c>
      <c r="P14" s="20"/>
      <c r="Q14" s="20"/>
      <c r="R14" s="90">
        <f t="shared" si="2"/>
        <v>0</v>
      </c>
      <c r="S14" s="20">
        <v>59.1</v>
      </c>
      <c r="T14" s="20">
        <v>2.6</v>
      </c>
      <c r="U14" s="20">
        <v>3.13</v>
      </c>
      <c r="V14" s="91">
        <f t="shared" si="3"/>
        <v>480.96</v>
      </c>
      <c r="W14" s="20">
        <v>2.1000000000000001E-2</v>
      </c>
      <c r="X14" s="20">
        <f t="shared" si="4"/>
        <v>33.42</v>
      </c>
      <c r="Y14" s="91">
        <f t="shared" si="5"/>
        <v>41.48</v>
      </c>
      <c r="Z14" s="20"/>
      <c r="AA14" s="20"/>
      <c r="AB14" s="20"/>
      <c r="AC14" s="91">
        <f t="shared" si="6"/>
        <v>522.42999999999995</v>
      </c>
      <c r="AD14" s="90">
        <f t="shared" si="7"/>
        <v>0.92</v>
      </c>
      <c r="AE14" s="92">
        <f t="shared" si="8"/>
        <v>6269.16</v>
      </c>
      <c r="AF14" s="20">
        <v>30</v>
      </c>
      <c r="AG14" s="20">
        <v>28</v>
      </c>
      <c r="AH14" s="20">
        <v>28</v>
      </c>
      <c r="AI14" s="20">
        <f>1+27</f>
        <v>28</v>
      </c>
      <c r="AJ14" s="20">
        <v>1.6</v>
      </c>
      <c r="AK14" s="90">
        <f t="shared" si="9"/>
        <v>3.73</v>
      </c>
      <c r="AL14" s="90">
        <v>391.01</v>
      </c>
      <c r="AM14" s="90">
        <f t="shared" si="10"/>
        <v>1458.47</v>
      </c>
      <c r="AN14" s="20">
        <v>29</v>
      </c>
      <c r="AO14" s="20">
        <v>28</v>
      </c>
      <c r="AP14" s="20">
        <v>30</v>
      </c>
      <c r="AQ14" s="20">
        <v>29</v>
      </c>
      <c r="AR14" s="20">
        <v>28</v>
      </c>
      <c r="AS14" s="20">
        <f>1+28</f>
        <v>29</v>
      </c>
      <c r="AT14" s="20">
        <f t="shared" si="11"/>
        <v>2</v>
      </c>
      <c r="AU14" s="20">
        <v>1.6</v>
      </c>
      <c r="AV14" s="90">
        <f t="shared" si="12"/>
        <v>4</v>
      </c>
      <c r="AW14" s="90">
        <f t="shared" si="13"/>
        <v>180.78</v>
      </c>
      <c r="AX14" s="90">
        <v>699.02</v>
      </c>
      <c r="AY14" s="90">
        <f t="shared" si="14"/>
        <v>1.23</v>
      </c>
      <c r="AZ14" s="90">
        <f t="shared" si="15"/>
        <v>1564.04</v>
      </c>
      <c r="BA14" s="90">
        <f t="shared" si="16"/>
        <v>-865.02</v>
      </c>
      <c r="BB14" s="90">
        <v>699.02</v>
      </c>
      <c r="BC14" s="90">
        <v>1.23</v>
      </c>
      <c r="BD14" s="92">
        <f t="shared" si="17"/>
        <v>8388.24</v>
      </c>
      <c r="BE14" s="90"/>
      <c r="BF14" s="90">
        <f t="shared" si="18"/>
        <v>0</v>
      </c>
      <c r="BG14" s="90">
        <v>391.01</v>
      </c>
      <c r="BH14" s="90">
        <f t="shared" si="19"/>
        <v>1564.04</v>
      </c>
      <c r="BI14" s="90">
        <f t="shared" si="20"/>
        <v>2.75</v>
      </c>
      <c r="BJ14" s="90">
        <f t="shared" si="21"/>
        <v>223.57723577235774</v>
      </c>
      <c r="BK14" s="90">
        <f t="shared" si="22"/>
        <v>1564.04</v>
      </c>
      <c r="BL14" s="90">
        <f t="shared" si="23"/>
        <v>2.75</v>
      </c>
      <c r="BM14" s="90"/>
      <c r="BN14" s="90">
        <f t="shared" si="24"/>
        <v>0</v>
      </c>
      <c r="BO14" s="90">
        <f t="shared" si="25"/>
        <v>1564.04</v>
      </c>
      <c r="BP14" s="90">
        <f t="shared" si="26"/>
        <v>2.7492353664967482</v>
      </c>
      <c r="BQ14" s="90"/>
      <c r="BR14" s="90">
        <f t="shared" si="27"/>
        <v>0</v>
      </c>
      <c r="BS14" s="90">
        <f t="shared" si="28"/>
        <v>1564.04</v>
      </c>
      <c r="BT14" s="90">
        <f t="shared" si="29"/>
        <v>2.7492353664967482</v>
      </c>
      <c r="BU14" s="90"/>
      <c r="BV14" s="93">
        <v>0.82054400000000005</v>
      </c>
      <c r="BW14" s="90">
        <f t="shared" si="30"/>
        <v>466.80748160000002</v>
      </c>
      <c r="BX14" s="90">
        <f t="shared" si="31"/>
        <v>494.81593049600002</v>
      </c>
      <c r="BY14" s="90"/>
      <c r="BZ14" s="90"/>
      <c r="CA14" s="90">
        <v>0.26506960000000002</v>
      </c>
      <c r="CB14" s="90">
        <f t="shared" si="32"/>
        <v>150.79809544</v>
      </c>
      <c r="CC14" s="90">
        <v>0.71072749999999996</v>
      </c>
      <c r="CD14" s="90">
        <f t="shared" si="33"/>
        <v>107.17635337683259</v>
      </c>
      <c r="CE14" s="90">
        <f t="shared" si="34"/>
        <v>162.0641233906853</v>
      </c>
      <c r="CF14" s="90">
        <v>157.90758146752827</v>
      </c>
      <c r="CG14" s="90">
        <v>157.90758146752827</v>
      </c>
      <c r="CH14" s="90">
        <f t="shared" si="35"/>
        <v>165.49</v>
      </c>
      <c r="CI14" s="90">
        <f>I14*0.305881373</f>
        <v>174.01591309969999</v>
      </c>
      <c r="CJ14" s="90">
        <f t="shared" si="36"/>
        <v>174.59</v>
      </c>
      <c r="CK14" s="90">
        <f t="shared" si="37"/>
        <v>185.00518327928737</v>
      </c>
      <c r="CL14" s="90">
        <f t="shared" si="38"/>
        <v>185.00518327928737</v>
      </c>
      <c r="CM14" s="94">
        <v>0.14899999999999999</v>
      </c>
      <c r="CN14" s="90">
        <f t="shared" si="39"/>
        <v>69.554314758399997</v>
      </c>
      <c r="CO14" s="90">
        <f t="shared" si="40"/>
        <v>73.727573643903995</v>
      </c>
      <c r="CP14" s="90"/>
      <c r="CQ14" s="90">
        <v>3.9538999999999998E-2</v>
      </c>
      <c r="CR14" s="90">
        <f t="shared" si="41"/>
        <v>22.493737099999997</v>
      </c>
      <c r="CS14" s="90">
        <v>0.71072749999999996</v>
      </c>
      <c r="CT14" s="90">
        <f t="shared" si="42"/>
        <v>15.986917534740247</v>
      </c>
      <c r="CU14" s="90">
        <f t="shared" si="43"/>
        <v>24.174229616464142</v>
      </c>
      <c r="CV14" s="90">
        <v>48.79923652122455</v>
      </c>
      <c r="CW14" s="90">
        <f t="shared" si="44"/>
        <v>51.14</v>
      </c>
      <c r="CX14" s="90">
        <f>I14*0.09452398</f>
        <v>53.774692221999992</v>
      </c>
      <c r="CY14" s="90">
        <f t="shared" si="45"/>
        <v>53.95</v>
      </c>
      <c r="CZ14" s="90">
        <f t="shared" si="46"/>
        <v>57.170615107013042</v>
      </c>
      <c r="DA14" s="90">
        <f t="shared" si="47"/>
        <v>57.170615107013042</v>
      </c>
      <c r="DB14" s="93">
        <v>0.80940000000000001</v>
      </c>
      <c r="DC14" s="90">
        <f t="shared" si="48"/>
        <v>460.46765999999997</v>
      </c>
      <c r="DD14" s="90">
        <f t="shared" si="49"/>
        <v>488.0957196</v>
      </c>
      <c r="DE14" s="90"/>
      <c r="DF14" s="90"/>
      <c r="DG14" s="90">
        <v>0.16261500000000001</v>
      </c>
      <c r="DH14" s="90">
        <f t="shared" si="50"/>
        <v>92.511673500000001</v>
      </c>
      <c r="DI14" s="90">
        <v>0.71072749999999996</v>
      </c>
      <c r="DJ14" s="90">
        <f t="shared" si="51"/>
        <v>65.750590427471252</v>
      </c>
      <c r="DK14" s="90">
        <f t="shared" si="52"/>
        <v>99.423160653565276</v>
      </c>
      <c r="DL14" s="90">
        <v>78.5007000655051</v>
      </c>
      <c r="DM14" s="90">
        <f t="shared" si="53"/>
        <v>82.27</v>
      </c>
      <c r="DN14" s="90">
        <f>I14*0.152062726</f>
        <v>86.508484821400003</v>
      </c>
      <c r="DO14" s="90">
        <f t="shared" si="54"/>
        <v>86.79</v>
      </c>
      <c r="DP14" s="90">
        <f t="shared" si="55"/>
        <v>91.97157779718107</v>
      </c>
      <c r="DQ14" s="90">
        <f t="shared" si="56"/>
        <v>91.97157779718107</v>
      </c>
      <c r="DR14" s="93">
        <v>3.1841000000000001E-2</v>
      </c>
      <c r="DS14" s="90">
        <f t="shared" si="57"/>
        <v>18.114344899999999</v>
      </c>
      <c r="DT14" s="90">
        <f t="shared" si="58"/>
        <v>19.201205594000001</v>
      </c>
      <c r="DU14" s="90"/>
      <c r="DV14" s="90">
        <v>6.1506E-3</v>
      </c>
      <c r="DW14" s="90">
        <f t="shared" si="59"/>
        <v>3.4990763399999998</v>
      </c>
      <c r="DX14" s="90">
        <v>0.71072749999999996</v>
      </c>
      <c r="DY14" s="90">
        <f t="shared" si="60"/>
        <v>2.4868897794373499</v>
      </c>
      <c r="DZ14" s="90">
        <f t="shared" si="61"/>
        <v>3.7604900649744399</v>
      </c>
      <c r="EA14" s="90">
        <f t="shared" si="62"/>
        <v>3.94</v>
      </c>
      <c r="EB14" s="90">
        <f>I14*0.007263966</f>
        <v>4.1324702573999996</v>
      </c>
      <c r="EC14" s="90">
        <f t="shared" si="63"/>
        <v>4.16</v>
      </c>
      <c r="ED14" s="90">
        <f t="shared" si="64"/>
        <v>4.3934396788669838</v>
      </c>
      <c r="EE14" s="90">
        <f t="shared" si="65"/>
        <v>4.3934396788669838</v>
      </c>
      <c r="EF14" s="94">
        <v>0.85293354333000004</v>
      </c>
      <c r="EG14" s="90">
        <f t="shared" si="66"/>
        <v>388.18711424034962</v>
      </c>
      <c r="EH14" s="90">
        <f t="shared" si="67"/>
        <v>411.4783410947706</v>
      </c>
      <c r="EI14" s="90"/>
      <c r="EJ14" s="90">
        <v>0.58970610000000001</v>
      </c>
      <c r="EK14" s="90">
        <f t="shared" si="68"/>
        <v>268.387040232</v>
      </c>
      <c r="EL14" s="90">
        <v>0.71072749999999996</v>
      </c>
      <c r="EM14" s="90">
        <f t="shared" si="69"/>
        <v>190.75005013648877</v>
      </c>
      <c r="EN14" s="90">
        <f t="shared" si="70"/>
        <v>288.43806201734122</v>
      </c>
      <c r="EO14" s="90">
        <v>280.75374271708574</v>
      </c>
      <c r="EP14" s="90">
        <f t="shared" si="71"/>
        <v>294.23</v>
      </c>
      <c r="EQ14" s="90">
        <f>I14*0.543836343</f>
        <v>309.38849553270001</v>
      </c>
      <c r="ER14" s="90">
        <f t="shared" si="72"/>
        <v>310.41000000000003</v>
      </c>
      <c r="ES14" s="90">
        <f t="shared" si="73"/>
        <v>328.92667285971805</v>
      </c>
      <c r="ET14" s="90">
        <f t="shared" si="74"/>
        <v>328.92667285971805</v>
      </c>
      <c r="EU14" s="94">
        <v>0.14899999999999999</v>
      </c>
      <c r="EV14" s="90">
        <f t="shared" si="75"/>
        <v>57.839880021812093</v>
      </c>
      <c r="EW14" s="90">
        <f t="shared" si="76"/>
        <v>61.310272823120819</v>
      </c>
      <c r="EX14" s="90"/>
      <c r="EY14" s="90">
        <v>8.7874999999999995E-2</v>
      </c>
      <c r="EZ14" s="90">
        <f t="shared" si="77"/>
        <v>39.993669999999995</v>
      </c>
      <c r="FA14" s="90">
        <v>0.71072749999999996</v>
      </c>
      <c r="FB14" s="90">
        <f t="shared" si="78"/>
        <v>28.424601094924995</v>
      </c>
      <c r="FC14" s="90">
        <f t="shared" si="79"/>
        <v>42.981571158537882</v>
      </c>
      <c r="FD14" s="90">
        <v>86.825021566388969</v>
      </c>
      <c r="FE14" s="90">
        <f t="shared" si="80"/>
        <v>90.99</v>
      </c>
      <c r="FF14" s="90">
        <f>I14*0.168180229</f>
        <v>95.677732278099995</v>
      </c>
      <c r="FG14" s="90">
        <f t="shared" si="81"/>
        <v>95.99</v>
      </c>
      <c r="FH14" s="90">
        <f t="shared" si="82"/>
        <v>101.71987193903934</v>
      </c>
      <c r="FI14" s="90">
        <f t="shared" si="83"/>
        <v>101.71987193903934</v>
      </c>
      <c r="FJ14" s="93">
        <v>0.49981642240000002</v>
      </c>
      <c r="FK14" s="90">
        <f t="shared" si="84"/>
        <v>227.476450162688</v>
      </c>
      <c r="FL14" s="90">
        <f t="shared" si="85"/>
        <v>241.12503717244928</v>
      </c>
      <c r="FM14" s="90"/>
      <c r="FN14" s="90">
        <v>0.35816899099999999</v>
      </c>
      <c r="FO14" s="90">
        <f t="shared" si="86"/>
        <v>163.00987118392001</v>
      </c>
      <c r="FP14" s="90">
        <v>0.71072749999999996</v>
      </c>
      <c r="FQ14" s="90">
        <f t="shared" si="87"/>
        <v>115.8555982218695</v>
      </c>
      <c r="FR14" s="90">
        <f t="shared" si="88"/>
        <v>175.1882329837635</v>
      </c>
      <c r="FS14" s="90">
        <v>137.83471863301151</v>
      </c>
      <c r="FT14" s="90">
        <f t="shared" si="89"/>
        <v>144.44999999999999</v>
      </c>
      <c r="FU14" s="90">
        <v>137.95120028135483</v>
      </c>
      <c r="FV14" s="90">
        <f t="shared" si="90"/>
        <v>144.57</v>
      </c>
      <c r="FW14" s="90">
        <f>I14*0.267214153</f>
        <v>152.01813164169999</v>
      </c>
      <c r="FX14" s="90">
        <f t="shared" si="91"/>
        <v>152.52000000000001</v>
      </c>
      <c r="FY14" s="90">
        <f t="shared" si="92"/>
        <v>161.61822103036181</v>
      </c>
      <c r="FZ14" s="90">
        <f t="shared" si="93"/>
        <v>161.61822103036181</v>
      </c>
      <c r="GA14" s="94">
        <v>1.352261642E-2</v>
      </c>
      <c r="GB14" s="90">
        <f t="shared" si="94"/>
        <v>6.1544131850703998</v>
      </c>
      <c r="GC14" s="90">
        <f t="shared" si="95"/>
        <v>6.523677976174624</v>
      </c>
      <c r="GD14" s="90"/>
      <c r="GE14" s="90">
        <v>1.0795000000000001E-2</v>
      </c>
      <c r="GF14" s="90">
        <f t="shared" si="96"/>
        <v>4.9130204000000006</v>
      </c>
      <c r="GG14" s="90">
        <v>0.71072749999999996</v>
      </c>
      <c r="GH14" s="90">
        <f t="shared" si="97"/>
        <v>3.4918187063410002</v>
      </c>
      <c r="GI14" s="90">
        <f t="shared" si="98"/>
        <v>5.2800689690630618</v>
      </c>
      <c r="GJ14" s="90">
        <f t="shared" si="99"/>
        <v>5.53</v>
      </c>
      <c r="GK14" s="90">
        <f>I14*0.010202823</f>
        <v>5.8043860046999995</v>
      </c>
      <c r="GL14" s="90">
        <f t="shared" si="100"/>
        <v>5.83</v>
      </c>
      <c r="GM14" s="90">
        <f t="shared" si="101"/>
        <v>6.1709384934699134</v>
      </c>
      <c r="GN14" s="90">
        <f t="shared" si="102"/>
        <v>6.1709384934699134</v>
      </c>
      <c r="GO14" s="90">
        <v>2419.1999999999998</v>
      </c>
      <c r="GP14" s="90">
        <f t="shared" si="103"/>
        <v>201.6</v>
      </c>
      <c r="GQ14" s="90">
        <f>1587.6+138.6</f>
        <v>1726.1999999999998</v>
      </c>
      <c r="GR14" s="90">
        <f t="shared" si="104"/>
        <v>143.85</v>
      </c>
      <c r="GS14" s="90">
        <f t="shared" si="105"/>
        <v>345.45</v>
      </c>
      <c r="GT14" s="90">
        <f t="shared" si="106"/>
        <v>0.61</v>
      </c>
      <c r="GU14" s="108">
        <f>2418+7</f>
        <v>2425</v>
      </c>
      <c r="GV14" s="90">
        <f>1316.76+115.72</f>
        <v>1432.48</v>
      </c>
      <c r="GW14" s="90">
        <f t="shared" si="107"/>
        <v>321.45666666666665</v>
      </c>
      <c r="GX14" s="90">
        <f t="shared" si="108"/>
        <v>0.56999999999999995</v>
      </c>
      <c r="GY14" s="90">
        <v>4321.2</v>
      </c>
      <c r="GZ14" s="90">
        <f>1400.52+123.7</f>
        <v>1524.22</v>
      </c>
      <c r="HA14" s="90">
        <f t="shared" si="109"/>
        <v>487.11833333333334</v>
      </c>
      <c r="HB14" s="90">
        <f t="shared" si="110"/>
        <v>0.86</v>
      </c>
      <c r="HC14" s="90">
        <v>4321.2</v>
      </c>
      <c r="HD14" s="90">
        <f>1400.52+123.7</f>
        <v>1524.22</v>
      </c>
      <c r="HE14" s="90">
        <f t="shared" si="111"/>
        <v>487.11833333333334</v>
      </c>
      <c r="HF14" s="90">
        <f t="shared" si="112"/>
        <v>0.86</v>
      </c>
      <c r="HG14" s="90"/>
      <c r="HH14" s="90"/>
      <c r="HI14" s="90">
        <v>0.96</v>
      </c>
      <c r="HJ14" s="90">
        <f t="shared" si="113"/>
        <v>546.14400000000001</v>
      </c>
      <c r="HK14" s="90">
        <f t="shared" si="114"/>
        <v>1.0060819124626472</v>
      </c>
      <c r="HL14" s="90">
        <f t="shared" si="115"/>
        <v>572.36</v>
      </c>
      <c r="HM14" s="90">
        <v>1.07</v>
      </c>
      <c r="HN14" s="90">
        <f t="shared" si="116"/>
        <v>608.72299999999996</v>
      </c>
      <c r="HO14" s="90">
        <v>1.1499999999999999</v>
      </c>
      <c r="HP14" s="90">
        <f t="shared" si="117"/>
        <v>654.24</v>
      </c>
      <c r="HQ14" s="90">
        <v>1.1499999999999999</v>
      </c>
      <c r="HR14" s="90">
        <f t="shared" si="118"/>
        <v>654.24</v>
      </c>
      <c r="HS14" s="90">
        <v>0.31922099999999998</v>
      </c>
      <c r="HT14" s="90">
        <f t="shared" si="119"/>
        <v>181.60482689999998</v>
      </c>
      <c r="HU14" s="90" t="e">
        <f>HT14*#REF!</f>
        <v>#REF!</v>
      </c>
      <c r="HV14" s="90">
        <v>2.83</v>
      </c>
      <c r="HW14" s="100">
        <v>3.1</v>
      </c>
      <c r="HX14" s="90">
        <f t="shared" si="120"/>
        <v>1763.59</v>
      </c>
      <c r="HY14" s="90">
        <v>1.06</v>
      </c>
      <c r="HZ14" s="90">
        <f t="shared" si="121"/>
        <v>1869.4054000000001</v>
      </c>
      <c r="IA14" s="90">
        <f t="shared" si="122"/>
        <v>3.29</v>
      </c>
      <c r="IB14" s="90">
        <f t="shared" si="123"/>
        <v>3.45</v>
      </c>
      <c r="IC14" s="90">
        <f t="shared" si="124"/>
        <v>1962.7049999999999</v>
      </c>
      <c r="ID14" s="90">
        <f t="shared" si="125"/>
        <v>3.64</v>
      </c>
      <c r="IE14" s="90">
        <f t="shared" si="126"/>
        <v>2070.8000000000002</v>
      </c>
      <c r="IF14" s="90">
        <f t="shared" si="127"/>
        <v>3.64</v>
      </c>
      <c r="IG14" s="92">
        <f t="shared" si="128"/>
        <v>24849.600000000002</v>
      </c>
      <c r="IH14" s="90">
        <v>3.91</v>
      </c>
      <c r="II14" s="90">
        <f t="shared" si="129"/>
        <v>4.1100000000000003</v>
      </c>
      <c r="IJ14" s="90">
        <f t="shared" si="130"/>
        <v>2338.1799999999998</v>
      </c>
      <c r="IK14" s="90">
        <f t="shared" si="131"/>
        <v>4.1100000000000003</v>
      </c>
      <c r="IL14" s="90">
        <f t="shared" si="132"/>
        <v>2338.1799999999998</v>
      </c>
      <c r="IM14" s="90">
        <f t="shared" si="133"/>
        <v>4.1100000000000003</v>
      </c>
      <c r="IN14" s="90">
        <f t="shared" si="134"/>
        <v>2338.1799999999998</v>
      </c>
      <c r="IO14" s="90">
        <f t="shared" si="135"/>
        <v>4.1100000000000003</v>
      </c>
      <c r="IP14" s="93">
        <v>0.37052404126999999</v>
      </c>
      <c r="IQ14" s="90">
        <f t="shared" si="136"/>
        <v>168.6329016628024</v>
      </c>
      <c r="IR14" s="90">
        <f t="shared" si="137"/>
        <v>178.75087576257056</v>
      </c>
      <c r="IS14" s="90">
        <v>108693.96</v>
      </c>
      <c r="IT14" s="90">
        <v>3053.33</v>
      </c>
      <c r="IU14" s="94"/>
      <c r="IV14" s="94"/>
      <c r="IW14" s="94">
        <v>1.697699125</v>
      </c>
      <c r="IX14" s="90">
        <f t="shared" si="138"/>
        <v>772.65682576999995</v>
      </c>
      <c r="IY14" s="93">
        <v>0.56339614052999998</v>
      </c>
      <c r="IZ14" s="90">
        <f t="shared" si="139"/>
        <v>320.51606434751699</v>
      </c>
      <c r="JA14" s="90">
        <f t="shared" si="140"/>
        <v>335.9</v>
      </c>
      <c r="JB14" s="90">
        <f>I14*0.619655148</f>
        <v>352.5218136972</v>
      </c>
      <c r="JC14" s="90">
        <f t="shared" si="141"/>
        <v>354.37</v>
      </c>
      <c r="JD14" s="90">
        <f t="shared" si="142"/>
        <v>374.78390103111627</v>
      </c>
      <c r="JE14" s="90">
        <f t="shared" si="143"/>
        <v>374.78390103111627</v>
      </c>
      <c r="JF14" s="93">
        <v>4.2278943710000003E-2</v>
      </c>
      <c r="JG14" s="90">
        <f t="shared" si="144"/>
        <v>19.241992861295202</v>
      </c>
      <c r="JH14" s="90">
        <f t="shared" si="145"/>
        <v>20.396512432972916</v>
      </c>
      <c r="JI14" s="20">
        <v>462.98</v>
      </c>
      <c r="JJ14" s="20"/>
      <c r="JK14" s="20">
        <v>6.0564350000000003E-2</v>
      </c>
      <c r="JL14" s="90">
        <f t="shared" si="146"/>
        <v>27.564046972</v>
      </c>
      <c r="JM14" s="93">
        <v>6.7347080040000007E-2</v>
      </c>
      <c r="JN14" s="90">
        <f t="shared" si="147"/>
        <v>38.313753834756</v>
      </c>
      <c r="JO14" s="90">
        <f t="shared" si="148"/>
        <v>40.15</v>
      </c>
      <c r="JP14" s="90">
        <f>I14*0.074081367</f>
        <v>42.144889686299997</v>
      </c>
      <c r="JQ14" s="90">
        <f t="shared" si="149"/>
        <v>42.36</v>
      </c>
      <c r="JR14" s="90">
        <f t="shared" si="150"/>
        <v>44.806379496064153</v>
      </c>
      <c r="JS14" s="90">
        <f t="shared" si="151"/>
        <v>44.806379496064153</v>
      </c>
      <c r="JT14" s="93">
        <v>7.3220517000000002E-3</v>
      </c>
      <c r="JU14" s="90">
        <f t="shared" si="152"/>
        <v>3.3324121697040003</v>
      </c>
      <c r="JV14" s="90">
        <f t="shared" si="153"/>
        <v>3.49</v>
      </c>
      <c r="JW14" s="90">
        <f>I14*0.006450698</f>
        <v>3.6698020921999999</v>
      </c>
      <c r="JX14" s="90">
        <f t="shared" si="154"/>
        <v>3.68</v>
      </c>
      <c r="JY14" s="90">
        <f t="shared" si="155"/>
        <v>3.9015535796268725</v>
      </c>
      <c r="JZ14" s="90">
        <f t="shared" si="156"/>
        <v>3.9015535796268725</v>
      </c>
      <c r="KA14" s="90">
        <v>8.3091099999999998E-3</v>
      </c>
      <c r="KB14" s="90">
        <f t="shared" si="157"/>
        <v>3.7816421432</v>
      </c>
      <c r="KC14" s="90" t="e">
        <f>KB14*#REF!</f>
        <v>#REF!</v>
      </c>
      <c r="KD14" s="90">
        <v>34406.519999999997</v>
      </c>
      <c r="KE14" s="90">
        <v>40292.97</v>
      </c>
      <c r="KF14" s="90"/>
      <c r="KG14" s="90">
        <f t="shared" si="158"/>
        <v>666.23043054049072</v>
      </c>
      <c r="KH14" s="90" t="e">
        <f>KG14/(BW14+#REF!)*(CB14+#REF!)</f>
        <v>#REF!</v>
      </c>
      <c r="KI14" s="90">
        <v>0.8</v>
      </c>
      <c r="KJ14" s="94"/>
      <c r="KK14" s="90">
        <f t="shared" si="159"/>
        <v>0</v>
      </c>
      <c r="KL14" s="93">
        <v>1.1147001000000001</v>
      </c>
      <c r="KM14" s="90">
        <f t="shared" si="160"/>
        <v>634.15288688999999</v>
      </c>
      <c r="KN14" s="90">
        <f t="shared" si="161"/>
        <v>672.20206010340007</v>
      </c>
      <c r="KO14" s="90" t="e">
        <f>BW14+CN14+DC14+DS14+EG14+EV14+FK14+GB14+#REF!+#REF!+HJ14+HX14+IQ14+JG14+JU14+KK14+KM14</f>
        <v>#REF!</v>
      </c>
      <c r="KP14" s="90"/>
      <c r="KQ14" s="90">
        <v>0.50814739200000003</v>
      </c>
      <c r="KR14" s="90">
        <f t="shared" si="162"/>
        <v>289.08505130880002</v>
      </c>
      <c r="KS14" s="90">
        <v>0.71072749999999996</v>
      </c>
      <c r="KT14" s="90">
        <f t="shared" si="163"/>
        <v>205.46069580407516</v>
      </c>
      <c r="KU14" s="90">
        <f t="shared" si="164"/>
        <v>310.68240808354835</v>
      </c>
      <c r="KV14" s="90">
        <f t="shared" si="165"/>
        <v>325.60000000000002</v>
      </c>
      <c r="KW14" s="90">
        <f>I14*0.600654238</f>
        <v>341.71219599819995</v>
      </c>
      <c r="KX14" s="90">
        <f t="shared" si="166"/>
        <v>343.51</v>
      </c>
      <c r="KY14" s="90">
        <f t="shared" si="167"/>
        <v>363.29164570825532</v>
      </c>
      <c r="KZ14" s="90">
        <f t="shared" si="168"/>
        <v>363.29164570825532</v>
      </c>
      <c r="LA14" s="90">
        <f t="shared" si="169"/>
        <v>2230.0920073315997</v>
      </c>
      <c r="LB14" s="90">
        <f t="shared" si="170"/>
        <v>3.92</v>
      </c>
      <c r="LC14" s="92">
        <f t="shared" si="171"/>
        <v>26761.104087979198</v>
      </c>
      <c r="LD14" s="92">
        <v>4.21</v>
      </c>
      <c r="LE14" s="92">
        <v>2395.0700000000006</v>
      </c>
      <c r="LF14" s="90">
        <f t="shared" si="172"/>
        <v>4.18</v>
      </c>
      <c r="LG14" s="90">
        <f t="shared" si="173"/>
        <v>2378</v>
      </c>
      <c r="LH14" s="90">
        <f t="shared" si="174"/>
        <v>2397.3489078814696</v>
      </c>
      <c r="LI14" s="90">
        <f t="shared" si="175"/>
        <v>4.21</v>
      </c>
      <c r="LJ14" s="90">
        <f t="shared" si="176"/>
        <v>2378</v>
      </c>
      <c r="LK14" s="90">
        <f t="shared" si="177"/>
        <v>4.18</v>
      </c>
      <c r="LL14" s="90">
        <f t="shared" si="178"/>
        <v>2378</v>
      </c>
      <c r="LM14" s="90">
        <f t="shared" si="179"/>
        <v>4.18</v>
      </c>
      <c r="LN14" s="95">
        <v>0.46</v>
      </c>
      <c r="LO14" s="95">
        <f t="shared" si="180"/>
        <v>261.69</v>
      </c>
      <c r="LP14" s="95"/>
      <c r="LQ14" s="95">
        <f t="shared" si="181"/>
        <v>0</v>
      </c>
      <c r="LR14" s="90"/>
      <c r="LS14" s="90"/>
      <c r="LT14" s="90">
        <f t="shared" si="182"/>
        <v>0</v>
      </c>
      <c r="LU14" s="90"/>
      <c r="LV14" s="90">
        <f t="shared" si="183"/>
        <v>0</v>
      </c>
      <c r="LW14" s="90">
        <f t="shared" si="184"/>
        <v>0</v>
      </c>
      <c r="LX14" s="90"/>
      <c r="LY14" s="90"/>
      <c r="LZ14" s="90">
        <f t="shared" si="185"/>
        <v>0</v>
      </c>
      <c r="MA14" s="90"/>
      <c r="MB14" s="90">
        <f t="shared" si="186"/>
        <v>0</v>
      </c>
      <c r="MC14" s="90">
        <f t="shared" si="187"/>
        <v>0</v>
      </c>
      <c r="MD14" s="90"/>
      <c r="ME14" s="90"/>
      <c r="MF14" s="90">
        <f t="shared" si="188"/>
        <v>0</v>
      </c>
      <c r="MG14" s="90"/>
      <c r="MH14" s="90">
        <f t="shared" si="189"/>
        <v>0</v>
      </c>
      <c r="MI14" s="90">
        <f t="shared" si="190"/>
        <v>0</v>
      </c>
      <c r="MJ14" s="90"/>
      <c r="MK14" s="90"/>
      <c r="ML14" s="90">
        <f t="shared" si="191"/>
        <v>0</v>
      </c>
      <c r="MM14" s="90"/>
      <c r="MN14" s="90">
        <f t="shared" si="192"/>
        <v>0</v>
      </c>
      <c r="MO14" s="90">
        <f t="shared" si="193"/>
        <v>0</v>
      </c>
      <c r="MP14" s="90">
        <f t="shared" si="194"/>
        <v>0</v>
      </c>
      <c r="MQ14" s="90">
        <f t="shared" si="195"/>
        <v>0</v>
      </c>
      <c r="MR14" s="90">
        <f t="shared" si="196"/>
        <v>0</v>
      </c>
      <c r="MS14" s="90">
        <f t="shared" si="197"/>
        <v>0</v>
      </c>
      <c r="MT14" s="95"/>
      <c r="MU14" s="95">
        <f t="shared" si="198"/>
        <v>0</v>
      </c>
      <c r="MV14" s="92">
        <f t="shared" si="199"/>
        <v>0</v>
      </c>
      <c r="MW14" s="95"/>
      <c r="MX14" s="95">
        <f t="shared" si="200"/>
        <v>0</v>
      </c>
      <c r="MY14" s="95"/>
      <c r="MZ14" s="95">
        <f t="shared" si="201"/>
        <v>0</v>
      </c>
      <c r="NA14" s="95"/>
      <c r="NB14" s="95">
        <f t="shared" si="202"/>
        <v>0</v>
      </c>
      <c r="NC14" s="92">
        <f t="shared" si="203"/>
        <v>0</v>
      </c>
      <c r="ND14" s="95"/>
      <c r="NE14" s="95">
        <f t="shared" si="204"/>
        <v>0</v>
      </c>
      <c r="NF14" s="95"/>
      <c r="NG14" s="95">
        <f t="shared" si="205"/>
        <v>0</v>
      </c>
      <c r="NH14" s="95"/>
      <c r="NI14" s="95"/>
      <c r="NJ14" s="95">
        <f t="shared" si="206"/>
        <v>0</v>
      </c>
      <c r="NK14" s="92">
        <f t="shared" si="207"/>
        <v>0</v>
      </c>
      <c r="NL14" s="95"/>
      <c r="NM14" s="95">
        <f t="shared" si="208"/>
        <v>0</v>
      </c>
      <c r="NN14" s="95"/>
      <c r="NO14" s="95">
        <f t="shared" si="209"/>
        <v>0</v>
      </c>
      <c r="NP14" s="95"/>
      <c r="NQ14" s="95">
        <f t="shared" si="210"/>
        <v>0</v>
      </c>
      <c r="NR14" s="92">
        <f t="shared" si="211"/>
        <v>0</v>
      </c>
      <c r="NS14" s="95"/>
      <c r="NT14" s="95">
        <f t="shared" si="212"/>
        <v>0</v>
      </c>
      <c r="NU14" s="95"/>
      <c r="NV14" s="95">
        <f t="shared" si="213"/>
        <v>0</v>
      </c>
      <c r="NW14" s="95"/>
      <c r="NX14" s="95">
        <f t="shared" si="214"/>
        <v>0</v>
      </c>
      <c r="NY14" s="92">
        <f t="shared" si="215"/>
        <v>0</v>
      </c>
      <c r="NZ14" s="95"/>
      <c r="OA14" s="95">
        <f t="shared" si="216"/>
        <v>0</v>
      </c>
      <c r="OB14" s="95"/>
      <c r="OC14" s="95">
        <f t="shared" si="217"/>
        <v>0</v>
      </c>
      <c r="OD14" s="90">
        <v>3083.44</v>
      </c>
      <c r="OE14" s="90">
        <f t="shared" si="218"/>
        <v>5.42</v>
      </c>
      <c r="OF14" s="92">
        <f t="shared" si="219"/>
        <v>37001.279999999999</v>
      </c>
      <c r="OG14" s="96">
        <v>699.02</v>
      </c>
      <c r="OH14" s="96">
        <v>1.23</v>
      </c>
      <c r="OI14" s="90">
        <v>3770.19</v>
      </c>
      <c r="OJ14" s="90">
        <f t="shared" si="220"/>
        <v>6.63</v>
      </c>
      <c r="OK14" s="90">
        <f t="shared" si="221"/>
        <v>3782.46</v>
      </c>
      <c r="OL14" s="90">
        <f t="shared" si="222"/>
        <v>6.65</v>
      </c>
      <c r="OM14" s="90">
        <f t="shared" si="223"/>
        <v>-2.0000000000000462E-2</v>
      </c>
      <c r="ON14" s="90">
        <v>3071.8</v>
      </c>
      <c r="OO14" s="90">
        <f t="shared" si="224"/>
        <v>5.4</v>
      </c>
      <c r="OP14" s="90">
        <v>3071.17</v>
      </c>
      <c r="OQ14" s="90">
        <v>5.41</v>
      </c>
      <c r="OR14" s="90">
        <f t="shared" si="225"/>
        <v>-9.9999999999997868E-3</v>
      </c>
      <c r="OS14" s="90">
        <f t="shared" si="226"/>
        <v>5.4</v>
      </c>
      <c r="OT14" s="90">
        <v>3071.8</v>
      </c>
      <c r="OU14" s="90">
        <f t="shared" si="227"/>
        <v>5.4</v>
      </c>
      <c r="OV14" s="97">
        <v>2508.85</v>
      </c>
      <c r="OW14" s="90">
        <f t="shared" si="228"/>
        <v>2508.85</v>
      </c>
      <c r="OX14" s="90">
        <f t="shared" si="229"/>
        <v>4.41</v>
      </c>
      <c r="OY14" s="90">
        <f>OU14-1+0.01</f>
        <v>4.41</v>
      </c>
      <c r="OZ14" s="90"/>
      <c r="PA14" s="90"/>
      <c r="PB14" s="95">
        <f t="shared" si="230"/>
        <v>0</v>
      </c>
      <c r="PC14" s="92">
        <f t="shared" si="231"/>
        <v>0</v>
      </c>
      <c r="PD14" s="90"/>
      <c r="PE14" s="95">
        <f t="shared" si="232"/>
        <v>0</v>
      </c>
      <c r="PF14" s="90">
        <f t="shared" si="233"/>
        <v>8428.8020073316002</v>
      </c>
      <c r="PG14" s="90">
        <f t="shared" si="234"/>
        <v>14.82</v>
      </c>
      <c r="PH14" s="90">
        <f t="shared" si="235"/>
        <v>9537.8783333333322</v>
      </c>
      <c r="PI14" s="90">
        <f t="shared" si="236"/>
        <v>16.77</v>
      </c>
      <c r="PJ14" s="90">
        <f t="shared" si="237"/>
        <v>9537.8783333333322</v>
      </c>
      <c r="PK14" s="90">
        <f t="shared" si="238"/>
        <v>16.77</v>
      </c>
      <c r="PL14" s="90"/>
      <c r="PM14" s="90">
        <f t="shared" si="239"/>
        <v>252.86</v>
      </c>
      <c r="PN14" s="90">
        <f t="shared" si="240"/>
        <v>0.44</v>
      </c>
      <c r="PO14" s="92">
        <f t="shared" si="241"/>
        <v>3034.32</v>
      </c>
      <c r="PP14" s="90">
        <f t="shared" si="242"/>
        <v>286.14</v>
      </c>
      <c r="PQ14" s="90">
        <f t="shared" si="243"/>
        <v>0.5</v>
      </c>
      <c r="PR14" s="90">
        <f t="shared" si="244"/>
        <v>286.14</v>
      </c>
      <c r="PS14" s="90">
        <f t="shared" si="245"/>
        <v>0.5</v>
      </c>
      <c r="PT14" s="90">
        <f t="shared" si="246"/>
        <v>8681.6620073316008</v>
      </c>
      <c r="PU14" s="90">
        <f t="shared" si="247"/>
        <v>15.26</v>
      </c>
      <c r="PV14" s="90">
        <f t="shared" si="248"/>
        <v>9824.0183333333316</v>
      </c>
      <c r="PW14" s="90">
        <f t="shared" si="249"/>
        <v>17.27</v>
      </c>
      <c r="PX14" s="90">
        <f t="shared" si="250"/>
        <v>9824.0183333333316</v>
      </c>
      <c r="PY14" s="90">
        <f t="shared" si="251"/>
        <v>17.27</v>
      </c>
      <c r="PZ14" s="90">
        <f t="shared" si="252"/>
        <v>87.69</v>
      </c>
      <c r="QA14" s="90">
        <f t="shared" si="253"/>
        <v>0.15</v>
      </c>
      <c r="QB14" s="92">
        <f t="shared" si="254"/>
        <v>1052.28</v>
      </c>
      <c r="QC14" s="90">
        <f t="shared" si="255"/>
        <v>99.23</v>
      </c>
      <c r="QD14" s="90">
        <f t="shared" si="256"/>
        <v>0.17</v>
      </c>
      <c r="QE14" s="90">
        <f t="shared" si="257"/>
        <v>99.23</v>
      </c>
      <c r="QF14" s="90">
        <f t="shared" si="258"/>
        <v>0.17</v>
      </c>
      <c r="QG14" s="90">
        <f t="shared" si="259"/>
        <v>8769.3520073316013</v>
      </c>
      <c r="QH14" s="90">
        <f t="shared" si="260"/>
        <v>15.41</v>
      </c>
      <c r="QI14" s="92">
        <f t="shared" si="261"/>
        <v>105232.22408797921</v>
      </c>
      <c r="QJ14" s="90">
        <f t="shared" si="262"/>
        <v>357.12219599819997</v>
      </c>
      <c r="QK14" s="98">
        <f t="shared" si="263"/>
        <v>0.25169999999999998</v>
      </c>
      <c r="QL14" s="90">
        <f t="shared" si="264"/>
        <v>143.19212999999999</v>
      </c>
      <c r="QM14" s="90">
        <f t="shared" si="265"/>
        <v>0.1128</v>
      </c>
      <c r="QN14" s="90">
        <f t="shared" si="266"/>
        <v>64.17192</v>
      </c>
      <c r="QO14" s="90">
        <v>0.21869999999999998</v>
      </c>
      <c r="QP14" s="90">
        <v>0.14579999999999999</v>
      </c>
      <c r="QQ14" s="97">
        <f t="shared" si="267"/>
        <v>207.36404999999999</v>
      </c>
      <c r="QR14" s="97">
        <v>206.96309999999997</v>
      </c>
      <c r="QS14" s="97">
        <f t="shared" si="268"/>
        <v>0.40095000000002301</v>
      </c>
      <c r="QT14" s="90"/>
      <c r="QU14" s="90">
        <f t="shared" si="269"/>
        <v>0.1128</v>
      </c>
      <c r="QV14" s="90">
        <f t="shared" si="270"/>
        <v>64.17192</v>
      </c>
      <c r="QW14" s="90">
        <f t="shared" si="271"/>
        <v>207.36404999999999</v>
      </c>
      <c r="QX14" s="90">
        <f t="shared" si="272"/>
        <v>0.36449999999999999</v>
      </c>
      <c r="QY14" s="90"/>
      <c r="QZ14" s="90"/>
      <c r="RA14" s="90"/>
      <c r="RB14" s="90">
        <v>2113.1799999999998</v>
      </c>
      <c r="RC14" s="97">
        <f t="shared" si="273"/>
        <v>8769.3520073316013</v>
      </c>
      <c r="RD14" s="97">
        <f t="shared" si="274"/>
        <v>15.41</v>
      </c>
      <c r="RE14" s="90">
        <f t="shared" si="275"/>
        <v>9923.2483333333312</v>
      </c>
      <c r="RF14" s="90">
        <f t="shared" si="276"/>
        <v>17.440000000000001</v>
      </c>
      <c r="RG14" s="90">
        <f t="shared" si="277"/>
        <v>113.17326411421156</v>
      </c>
      <c r="RH14" s="90">
        <f t="shared" si="278"/>
        <v>9923.2483333333312</v>
      </c>
      <c r="RI14" s="90">
        <f t="shared" si="279"/>
        <v>17.440000000000001</v>
      </c>
      <c r="RJ14" s="90">
        <v>17.18</v>
      </c>
      <c r="RK14" s="90">
        <v>0</v>
      </c>
      <c r="RL14" s="90">
        <f t="shared" si="280"/>
        <v>0.26000000000000156</v>
      </c>
      <c r="RM14" s="90">
        <f t="shared" si="281"/>
        <v>106.40634533251982</v>
      </c>
      <c r="RN14" s="90">
        <f t="shared" si="282"/>
        <v>5666.1920073315996</v>
      </c>
      <c r="RO14" s="90"/>
      <c r="RP14" s="90"/>
      <c r="RQ14" s="99">
        <v>240</v>
      </c>
      <c r="RR14" s="90">
        <f t="shared" si="283"/>
        <v>5685.9120073315989</v>
      </c>
      <c r="RS14" s="90">
        <f t="shared" si="284"/>
        <v>9.9945719939033211</v>
      </c>
      <c r="RT14" s="90">
        <v>11.28</v>
      </c>
      <c r="RU14" s="90">
        <f t="shared" si="285"/>
        <v>6417.1919999999991</v>
      </c>
      <c r="RV14" s="90">
        <f t="shared" si="286"/>
        <v>0.62774159957496922</v>
      </c>
      <c r="RW14" s="100">
        <v>10.43</v>
      </c>
      <c r="RX14" s="90">
        <f t="shared" si="287"/>
        <v>10.951499999999999</v>
      </c>
      <c r="RY14" s="90">
        <f t="shared" si="288"/>
        <v>6230.3083499999993</v>
      </c>
      <c r="RZ14" s="90">
        <f t="shared" si="289"/>
        <v>1643.6897454341577</v>
      </c>
      <c r="SA14" s="90">
        <f t="shared" si="290"/>
        <v>735.38351508218079</v>
      </c>
      <c r="SB14" s="90">
        <f t="shared" si="291"/>
        <v>1111.992346937943</v>
      </c>
      <c r="SC14" s="90">
        <f t="shared" si="292"/>
        <v>2020.2985772899201</v>
      </c>
      <c r="SD14" s="90">
        <f t="shared" si="293"/>
        <v>2020.2985772899199</v>
      </c>
      <c r="SE14" s="90">
        <f t="shared" si="294"/>
        <v>2049.1367789370911</v>
      </c>
      <c r="SF14" s="90">
        <f t="shared" si="295"/>
        <v>2018.6501984403067</v>
      </c>
      <c r="SG14" s="90">
        <f t="shared" si="296"/>
        <v>1.6483788496134366</v>
      </c>
      <c r="SH14" s="90">
        <f t="shared" si="297"/>
        <v>2018.76668008865</v>
      </c>
      <c r="SI14" s="90">
        <f t="shared" si="298"/>
        <v>3.5512367328000001</v>
      </c>
      <c r="SJ14" s="90">
        <f t="shared" si="299"/>
        <v>3.5483392484449054</v>
      </c>
      <c r="SK14" s="90"/>
      <c r="SL14" s="90"/>
      <c r="SM14" s="90"/>
      <c r="SN14" s="90">
        <f t="shared" si="300"/>
        <v>2161.2200000000003</v>
      </c>
      <c r="SO14" s="90" t="e">
        <f>RU14-#REF!-#REF!-HZ14-LT14-LZ14-MF14-ML14-QL14-QN14-SD14</f>
        <v>#REF!</v>
      </c>
      <c r="SP14" s="90">
        <f t="shared" si="301"/>
        <v>2115.6600000000003</v>
      </c>
      <c r="SQ14" s="90">
        <f t="shared" si="302"/>
        <v>2230.0920073315997</v>
      </c>
      <c r="SR14" s="90">
        <f t="shared" si="303"/>
        <v>3.7188609597468805</v>
      </c>
      <c r="SS14" s="90">
        <f t="shared" si="304"/>
        <v>3.9200070439999997</v>
      </c>
      <c r="ST14" s="90">
        <f t="shared" si="305"/>
        <v>2236.8829999999998</v>
      </c>
      <c r="SU14" s="90">
        <v>3.7216977809087708</v>
      </c>
      <c r="SV14" s="90">
        <f t="shared" si="306"/>
        <v>3.93</v>
      </c>
      <c r="SW14" s="90">
        <v>3.92</v>
      </c>
      <c r="SX14" s="90">
        <f t="shared" si="307"/>
        <v>2230.09</v>
      </c>
      <c r="SY14" s="90">
        <v>3.7216977809087708</v>
      </c>
      <c r="SZ14" s="90">
        <f t="shared" si="308"/>
        <v>2117.2738675589994</v>
      </c>
      <c r="TA14" s="90">
        <f t="shared" si="309"/>
        <v>1.613867558999118</v>
      </c>
      <c r="TB14" s="90">
        <v>0</v>
      </c>
      <c r="TC14" s="90">
        <f t="shared" si="310"/>
        <v>1288.5929499999979</v>
      </c>
      <c r="TD14" s="90" t="e">
        <f>#REF!+#REF!</f>
        <v>#REF!</v>
      </c>
      <c r="TE14" s="90" t="e">
        <f t="shared" si="311"/>
        <v>#REF!</v>
      </c>
      <c r="TF14" s="90">
        <v>1292.4808999999991</v>
      </c>
      <c r="TG14" s="90">
        <f t="shared" si="312"/>
        <v>20.080324073208313</v>
      </c>
      <c r="TH14" s="95"/>
      <c r="TI14" s="95"/>
      <c r="TJ14" s="95"/>
      <c r="TK14" s="95"/>
      <c r="TL14" s="95"/>
      <c r="TM14" s="95">
        <f t="shared" si="313"/>
        <v>0</v>
      </c>
      <c r="TN14" s="95">
        <f t="shared" si="314"/>
        <v>6417.1919999999991</v>
      </c>
      <c r="TO14" s="95">
        <f t="shared" si="315"/>
        <v>20.080324073208313</v>
      </c>
      <c r="TP14" s="95"/>
      <c r="TQ14" s="95">
        <f t="shared" si="316"/>
        <v>11.28</v>
      </c>
      <c r="TR14" s="95"/>
      <c r="TS14" s="95"/>
      <c r="TT14" s="95"/>
      <c r="TU14" s="95"/>
      <c r="TV14" s="95"/>
      <c r="TW14" s="95"/>
      <c r="TX14" s="95"/>
      <c r="TY14" s="95"/>
      <c r="TZ14" s="95">
        <f t="shared" si="317"/>
        <v>3.2313829787234045</v>
      </c>
      <c r="UA14" s="95">
        <f t="shared" si="318"/>
        <v>0.49632000000000004</v>
      </c>
      <c r="UB14" s="90">
        <v>0</v>
      </c>
      <c r="UC14" s="90">
        <f t="shared" si="319"/>
        <v>0</v>
      </c>
      <c r="UD14" s="90">
        <f t="shared" si="320"/>
        <v>0</v>
      </c>
      <c r="UE14" s="90">
        <f t="shared" si="321"/>
        <v>0</v>
      </c>
      <c r="UF14" s="90">
        <f t="shared" si="322"/>
        <v>6417.1919999999991</v>
      </c>
      <c r="UG14" s="91">
        <f t="shared" si="323"/>
        <v>0</v>
      </c>
      <c r="UH14" s="95">
        <f t="shared" si="324"/>
        <v>20.080324073208313</v>
      </c>
      <c r="UI14" s="95">
        <f t="shared" si="325"/>
        <v>6417.1919999999991</v>
      </c>
      <c r="UJ14" s="101">
        <f t="shared" si="326"/>
        <v>0</v>
      </c>
      <c r="UK14" s="101">
        <f t="shared" si="327"/>
        <v>20.080324073208313</v>
      </c>
      <c r="UL14" s="90" t="e">
        <f>(#REF!+#REF!+HZ14+LT14+LZ14+MF14+ML14+QL14+QN14+SN14+TC14+TM14+UC14)/I14</f>
        <v>#REF!</v>
      </c>
      <c r="UN14" s="90" t="e">
        <f>#REF!/I14</f>
        <v>#REF!</v>
      </c>
      <c r="UO14" s="90" t="e">
        <f>#REF!/I14</f>
        <v>#REF!</v>
      </c>
      <c r="UP14" s="90">
        <v>1.1499999999999999</v>
      </c>
      <c r="UQ14" s="90" t="e">
        <f t="shared" si="328"/>
        <v>#REF!</v>
      </c>
      <c r="UR14" s="90">
        <f t="shared" si="329"/>
        <v>5685.9120073315989</v>
      </c>
      <c r="US14" s="90">
        <f t="shared" si="330"/>
        <v>6987.0466666666662</v>
      </c>
      <c r="UT14" s="90">
        <f t="shared" si="331"/>
        <v>6987.0466666666662</v>
      </c>
      <c r="UU14" s="90">
        <f>BK14+HA14+IL14+LL14+LW14+MC14+MI14+MO14+MZ14+NG14+NO14+NV14+OA14+PR14+QE14</f>
        <v>7152.708333333333</v>
      </c>
      <c r="UV14" s="90">
        <f t="shared" si="333"/>
        <v>7152.708333333333</v>
      </c>
      <c r="UW14" s="90">
        <f t="shared" si="334"/>
        <v>5.76</v>
      </c>
      <c r="UX14" s="90">
        <f t="shared" si="335"/>
        <v>3.92</v>
      </c>
      <c r="UY14" s="90">
        <f t="shared" si="336"/>
        <v>3.7989453330989633</v>
      </c>
      <c r="UZ14" s="100">
        <f t="shared" si="337"/>
        <v>3.5512367328000001</v>
      </c>
      <c r="VA14" s="90">
        <f t="shared" si="338"/>
        <v>0.61</v>
      </c>
      <c r="VB14" s="90">
        <f t="shared" si="339"/>
        <v>1.23</v>
      </c>
      <c r="VC14" s="90">
        <f t="shared" si="340"/>
        <v>0</v>
      </c>
      <c r="VD14" s="90">
        <f t="shared" si="341"/>
        <v>0</v>
      </c>
      <c r="VE14" s="90">
        <f t="shared" si="342"/>
        <v>0</v>
      </c>
      <c r="VF14" s="90">
        <f t="shared" si="343"/>
        <v>0</v>
      </c>
      <c r="VG14" s="90">
        <f t="shared" si="344"/>
        <v>0</v>
      </c>
      <c r="VH14" s="90">
        <f t="shared" si="345"/>
        <v>0</v>
      </c>
      <c r="VI14" s="90">
        <f t="shared" si="346"/>
        <v>0</v>
      </c>
      <c r="VJ14" s="90">
        <f t="shared" si="347"/>
        <v>0</v>
      </c>
      <c r="VK14" s="90">
        <f t="shared" si="348"/>
        <v>0.92</v>
      </c>
      <c r="VL14" s="90">
        <f t="shared" si="349"/>
        <v>3.64</v>
      </c>
      <c r="VM14" s="90">
        <f t="shared" si="350"/>
        <v>5.42</v>
      </c>
      <c r="VN14" s="90">
        <f t="shared" si="351"/>
        <v>0</v>
      </c>
      <c r="VO14" s="90">
        <f t="shared" si="352"/>
        <v>5.42</v>
      </c>
      <c r="VP14" s="97">
        <v>0</v>
      </c>
      <c r="VQ14" s="97">
        <v>5.42</v>
      </c>
      <c r="VR14" s="90">
        <f t="shared" si="353"/>
        <v>0.44</v>
      </c>
      <c r="VS14" s="90">
        <f t="shared" si="354"/>
        <v>0.15</v>
      </c>
      <c r="VT14" s="90">
        <v>0.11989898989898991</v>
      </c>
      <c r="VU14" s="90">
        <f t="shared" si="355"/>
        <v>0.15410000000000001</v>
      </c>
      <c r="VV14" s="90">
        <v>0.38175323599898991</v>
      </c>
      <c r="VW14" s="90">
        <f t="shared" si="356"/>
        <v>0.59</v>
      </c>
      <c r="VX14" s="90">
        <f t="shared" si="357"/>
        <v>15.41</v>
      </c>
      <c r="VY14" s="90">
        <f t="shared" si="358"/>
        <v>15.41</v>
      </c>
      <c r="VZ14" s="90">
        <f t="shared" si="359"/>
        <v>0</v>
      </c>
      <c r="WA14" s="90"/>
      <c r="WB14" s="90">
        <f t="shared" si="360"/>
        <v>15.41</v>
      </c>
      <c r="WC14" s="90">
        <f t="shared" si="361"/>
        <v>0</v>
      </c>
      <c r="WD14" s="90"/>
      <c r="WE14" s="90">
        <v>15.41</v>
      </c>
      <c r="WF14" s="90"/>
      <c r="WG14" s="90">
        <f t="shared" si="362"/>
        <v>8766.7489999999998</v>
      </c>
      <c r="WH14" s="90">
        <f t="shared" si="363"/>
        <v>8766.7489999999998</v>
      </c>
      <c r="WI14" s="90">
        <f t="shared" si="364"/>
        <v>8769.3520073316013</v>
      </c>
      <c r="WJ14" s="90">
        <f t="shared" si="365"/>
        <v>5685.9120073315989</v>
      </c>
      <c r="WK14" s="97">
        <v>3077.48</v>
      </c>
      <c r="WL14" s="97">
        <v>5.42</v>
      </c>
      <c r="WM14" s="90">
        <f t="shared" si="366"/>
        <v>3083.44</v>
      </c>
      <c r="WN14" s="90">
        <f t="shared" si="367"/>
        <v>5.42</v>
      </c>
      <c r="WO14" s="90"/>
      <c r="WP14" s="97">
        <v>15.41</v>
      </c>
      <c r="WQ14" s="90">
        <f t="shared" si="368"/>
        <v>15.41</v>
      </c>
      <c r="WR14" s="91">
        <f t="shared" si="369"/>
        <v>136.61347517730496</v>
      </c>
      <c r="WS14" s="91">
        <f t="shared" si="370"/>
        <v>136.61347517730496</v>
      </c>
      <c r="WT14" s="90">
        <f t="shared" si="371"/>
        <v>8766.75</v>
      </c>
      <c r="WU14" s="90">
        <f t="shared" si="372"/>
        <v>8769.3520073316013</v>
      </c>
      <c r="WV14" s="90">
        <f t="shared" si="373"/>
        <v>-2.6020073316012713</v>
      </c>
      <c r="WW14" s="90"/>
      <c r="WX14" s="90"/>
      <c r="WY14" s="90"/>
      <c r="WZ14" s="90">
        <f t="shared" si="374"/>
        <v>2.0419959595959596</v>
      </c>
      <c r="XA14" s="90">
        <v>0</v>
      </c>
      <c r="XB14" s="90">
        <f t="shared" si="375"/>
        <v>2.0419959595959596</v>
      </c>
      <c r="XC14" s="90">
        <f t="shared" si="376"/>
        <v>0.35759999999999997</v>
      </c>
      <c r="XD14" s="90">
        <f t="shared" si="377"/>
        <v>0.1204040404040404</v>
      </c>
      <c r="XE14" s="90"/>
      <c r="XF14" s="90">
        <f t="shared" si="378"/>
        <v>11.92</v>
      </c>
      <c r="XG14" s="90">
        <v>2.2762960549489244</v>
      </c>
      <c r="XH14" s="20">
        <v>11.28</v>
      </c>
      <c r="XI14" s="20">
        <v>0</v>
      </c>
      <c r="XJ14" s="20"/>
      <c r="XK14" s="20"/>
      <c r="XL14" s="20"/>
      <c r="XM14" s="20">
        <f t="shared" si="379"/>
        <v>11.28</v>
      </c>
      <c r="XN14" s="91">
        <f t="shared" si="380"/>
        <v>136.61347517730496</v>
      </c>
      <c r="XO14" s="20">
        <f t="shared" si="381"/>
        <v>11.28</v>
      </c>
      <c r="XP14" s="90">
        <f t="shared" si="382"/>
        <v>11.28</v>
      </c>
      <c r="XQ14" s="91">
        <f t="shared" si="383"/>
        <v>136.61347517730496</v>
      </c>
      <c r="XR14" s="102"/>
      <c r="XS14" s="90">
        <f t="shared" si="384"/>
        <v>3.64</v>
      </c>
      <c r="XT14" s="90">
        <f t="shared" si="385"/>
        <v>5.76</v>
      </c>
      <c r="XU14" s="90">
        <f t="shared" si="386"/>
        <v>3.92</v>
      </c>
      <c r="XV14" s="90">
        <f t="shared" si="387"/>
        <v>0.61</v>
      </c>
      <c r="XW14" s="90">
        <f t="shared" si="388"/>
        <v>0.61</v>
      </c>
      <c r="XX14" s="90">
        <f t="shared" si="389"/>
        <v>0</v>
      </c>
      <c r="XY14" s="90">
        <f t="shared" si="390"/>
        <v>1.23</v>
      </c>
      <c r="XZ14" s="90">
        <f t="shared" si="391"/>
        <v>0</v>
      </c>
      <c r="YA14" s="90">
        <f t="shared" si="392"/>
        <v>0</v>
      </c>
      <c r="YB14" s="90">
        <f t="shared" si="393"/>
        <v>0</v>
      </c>
      <c r="YC14" s="90">
        <f t="shared" si="393"/>
        <v>0</v>
      </c>
      <c r="YD14" s="90">
        <f t="shared" si="394"/>
        <v>1.23</v>
      </c>
      <c r="YE14" s="90">
        <f t="shared" si="395"/>
        <v>5.42</v>
      </c>
      <c r="YF14" s="90">
        <f t="shared" si="396"/>
        <v>0.59</v>
      </c>
      <c r="YG14" s="90">
        <f t="shared" si="397"/>
        <v>15.41</v>
      </c>
      <c r="YI14" s="103" t="s">
        <v>452</v>
      </c>
      <c r="YK14" s="90">
        <f t="shared" si="398"/>
        <v>1.07</v>
      </c>
      <c r="YL14" s="90">
        <f t="shared" si="399"/>
        <v>0.61</v>
      </c>
      <c r="YM14" s="90">
        <f t="shared" si="399"/>
        <v>1.23</v>
      </c>
      <c r="YN14" s="90">
        <f t="shared" si="400"/>
        <v>3.64</v>
      </c>
      <c r="YO14" s="90">
        <f t="shared" si="401"/>
        <v>8.86</v>
      </c>
      <c r="YP14" s="90">
        <f t="shared" si="402"/>
        <v>0</v>
      </c>
      <c r="YQ14" s="90">
        <f t="shared" si="403"/>
        <v>15.41</v>
      </c>
      <c r="YR14" s="90">
        <f t="shared" si="404"/>
        <v>0</v>
      </c>
      <c r="YS14" s="104">
        <f t="shared" si="405"/>
        <v>15.41</v>
      </c>
      <c r="YT14" s="104">
        <f t="shared" si="406"/>
        <v>0</v>
      </c>
      <c r="YY14" s="90">
        <f t="shared" si="407"/>
        <v>7.5</v>
      </c>
      <c r="YZ14" s="90">
        <f t="shared" si="408"/>
        <v>4.18</v>
      </c>
      <c r="ZA14" s="90">
        <f t="shared" si="409"/>
        <v>0.56999999999999995</v>
      </c>
      <c r="ZB14" s="90">
        <f t="shared" si="410"/>
        <v>2.75</v>
      </c>
      <c r="ZC14" s="90">
        <f t="shared" si="411"/>
        <v>0</v>
      </c>
      <c r="ZD14" s="90">
        <f t="shared" si="412"/>
        <v>0</v>
      </c>
      <c r="ZE14" s="90">
        <f t="shared" si="413"/>
        <v>0</v>
      </c>
      <c r="ZF14" s="90">
        <f t="shared" si="414"/>
        <v>0</v>
      </c>
      <c r="ZG14" s="90">
        <f t="shared" si="415"/>
        <v>0</v>
      </c>
      <c r="ZH14" s="90">
        <f t="shared" si="416"/>
        <v>0</v>
      </c>
      <c r="ZI14" s="90">
        <f t="shared" si="417"/>
        <v>0</v>
      </c>
      <c r="ZJ14" s="90">
        <f t="shared" si="418"/>
        <v>0</v>
      </c>
      <c r="ZK14" s="90">
        <f t="shared" si="419"/>
        <v>0</v>
      </c>
      <c r="ZL14" s="90">
        <f t="shared" si="420"/>
        <v>0.02</v>
      </c>
      <c r="ZM14" s="90">
        <f t="shared" si="421"/>
        <v>4.1100000000000003</v>
      </c>
      <c r="ZN14" s="90">
        <f t="shared" si="422"/>
        <v>7.16</v>
      </c>
      <c r="ZO14" s="90">
        <f t="shared" si="423"/>
        <v>6.65</v>
      </c>
      <c r="ZP14" s="90">
        <f t="shared" si="424"/>
        <v>4.41</v>
      </c>
      <c r="ZQ14" s="90">
        <f t="shared" si="425"/>
        <v>0</v>
      </c>
      <c r="ZR14" s="90">
        <f t="shared" si="426"/>
        <v>4.41</v>
      </c>
      <c r="ZS14" s="97">
        <v>227</v>
      </c>
      <c r="ZT14" s="97">
        <v>230.38</v>
      </c>
      <c r="ZU14" s="90">
        <f t="shared" si="427"/>
        <v>0.5</v>
      </c>
      <c r="ZV14" s="90">
        <f t="shared" si="428"/>
        <v>0.17</v>
      </c>
      <c r="ZW14" s="90">
        <v>0.11989898989898991</v>
      </c>
      <c r="ZX14" s="90">
        <f t="shared" si="429"/>
        <v>0.16690000000000002</v>
      </c>
      <c r="ZY14" s="90">
        <v>0.38175323599898991</v>
      </c>
      <c r="ZZ14" s="90">
        <f t="shared" si="430"/>
        <v>0.67</v>
      </c>
      <c r="AAA14" s="90">
        <f t="shared" si="431"/>
        <v>16.690000000000001</v>
      </c>
      <c r="AAB14" s="90">
        <f t="shared" si="432"/>
        <v>16.690000000000001</v>
      </c>
      <c r="AAC14" s="90">
        <f t="shared" si="433"/>
        <v>0</v>
      </c>
      <c r="AAD14" s="90"/>
      <c r="AAE14" s="90">
        <f t="shared" si="434"/>
        <v>16.690000000000001</v>
      </c>
      <c r="AAF14" s="90">
        <v>15.41</v>
      </c>
      <c r="AAG14" s="90">
        <f t="shared" si="435"/>
        <v>108.3062946138871</v>
      </c>
      <c r="AAH14" s="90">
        <f t="shared" si="436"/>
        <v>0</v>
      </c>
      <c r="AAI14" s="90">
        <v>0</v>
      </c>
      <c r="AAJ14" s="90"/>
      <c r="AAK14" s="1">
        <v>16.39</v>
      </c>
      <c r="AAL14" s="104">
        <f t="shared" si="437"/>
        <v>0.30000000000000071</v>
      </c>
      <c r="AAM14" s="103" t="s">
        <v>456</v>
      </c>
      <c r="AAN14" s="105">
        <v>7.44</v>
      </c>
      <c r="AAO14" s="90">
        <f t="shared" si="438"/>
        <v>8.25</v>
      </c>
      <c r="AAP14" s="90">
        <v>4.21</v>
      </c>
      <c r="AAQ14" s="90">
        <f t="shared" si="439"/>
        <v>4.18</v>
      </c>
      <c r="AAR14" s="90">
        <v>0.56999999999999995</v>
      </c>
      <c r="AAS14" s="90">
        <f t="shared" si="440"/>
        <v>0.86</v>
      </c>
      <c r="AAT14" s="90">
        <f t="shared" si="441"/>
        <v>150.87719298245614</v>
      </c>
      <c r="AAU14" s="90">
        <v>2.66</v>
      </c>
      <c r="AAV14" s="90">
        <f t="shared" si="442"/>
        <v>2.75</v>
      </c>
      <c r="AAW14" s="90">
        <f t="shared" si="443"/>
        <v>103.38345864661653</v>
      </c>
      <c r="AAX14" s="90">
        <f t="shared" si="444"/>
        <v>0.46</v>
      </c>
      <c r="AAY14" s="90">
        <f t="shared" si="445"/>
        <v>0</v>
      </c>
      <c r="AAZ14" s="90">
        <f t="shared" si="446"/>
        <v>0</v>
      </c>
      <c r="ABA14" s="90">
        <f t="shared" si="447"/>
        <v>0</v>
      </c>
      <c r="ABB14" s="90">
        <f t="shared" si="448"/>
        <v>0</v>
      </c>
      <c r="ABC14" s="90">
        <v>0</v>
      </c>
      <c r="ABD14" s="90">
        <f t="shared" si="449"/>
        <v>0</v>
      </c>
      <c r="ABE14" s="90"/>
      <c r="ABF14" s="90">
        <v>0</v>
      </c>
      <c r="ABG14" s="90">
        <f t="shared" si="450"/>
        <v>0</v>
      </c>
      <c r="ABH14" s="90"/>
      <c r="ABI14" s="90">
        <f t="shared" si="451"/>
        <v>0</v>
      </c>
      <c r="ABJ14" s="90">
        <f t="shared" si="452"/>
        <v>0</v>
      </c>
      <c r="ABK14" s="90">
        <v>0</v>
      </c>
      <c r="ABL14" s="90">
        <f t="shared" si="453"/>
        <v>0</v>
      </c>
      <c r="ABM14" s="90">
        <f t="shared" si="454"/>
        <v>0</v>
      </c>
      <c r="ABN14" s="90">
        <f t="shared" si="455"/>
        <v>0.02</v>
      </c>
      <c r="ABO14" s="90">
        <v>3.91</v>
      </c>
      <c r="ABP14" s="90">
        <f t="shared" si="456"/>
        <v>4.1100000000000003</v>
      </c>
      <c r="ABQ14" s="90">
        <f t="shared" si="457"/>
        <v>105.1150895140665</v>
      </c>
      <c r="ABR14" s="90">
        <f t="shared" si="458"/>
        <v>7.16</v>
      </c>
      <c r="ABS14" s="90">
        <f t="shared" si="459"/>
        <v>6.65</v>
      </c>
      <c r="ABT14" s="90">
        <v>4.41</v>
      </c>
      <c r="ABU14" s="90">
        <f t="shared" si="460"/>
        <v>4.41</v>
      </c>
      <c r="ABV14" s="90">
        <f t="shared" si="461"/>
        <v>100</v>
      </c>
      <c r="ABW14" s="90">
        <f t="shared" si="462"/>
        <v>0</v>
      </c>
      <c r="ABX14" s="90">
        <f t="shared" si="463"/>
        <v>4.41</v>
      </c>
      <c r="ABY14" s="97">
        <v>227</v>
      </c>
      <c r="ABZ14" s="97">
        <v>230.38</v>
      </c>
      <c r="ACA14" s="90">
        <f t="shared" si="464"/>
        <v>0.5</v>
      </c>
      <c r="ACB14" s="90">
        <f t="shared" si="465"/>
        <v>0.17</v>
      </c>
      <c r="ACC14" s="90">
        <v>0.11989898989898991</v>
      </c>
      <c r="ACD14" s="90">
        <f t="shared" si="466"/>
        <v>0.16980000000000003</v>
      </c>
      <c r="ACE14" s="90">
        <v>0.38175323599898991</v>
      </c>
      <c r="ACF14" s="90">
        <v>0.63</v>
      </c>
      <c r="ACG14" s="90">
        <f t="shared" si="467"/>
        <v>0.67</v>
      </c>
      <c r="ACH14" s="90">
        <f t="shared" si="468"/>
        <v>106.34920634920636</v>
      </c>
      <c r="ACI14" s="90">
        <f t="shared" si="469"/>
        <v>17.440000000000001</v>
      </c>
      <c r="ACJ14" s="90">
        <f t="shared" si="470"/>
        <v>16.980000000000004</v>
      </c>
      <c r="ACK14" s="90">
        <f t="shared" si="471"/>
        <v>-0.4599999999999973</v>
      </c>
      <c r="ACL14" s="90"/>
      <c r="ACM14" s="90">
        <f t="shared" si="472"/>
        <v>17.440000000000001</v>
      </c>
      <c r="ACN14" s="90">
        <f t="shared" si="473"/>
        <v>0</v>
      </c>
      <c r="ACO14" s="90">
        <f t="shared" si="474"/>
        <v>17.440000000000001</v>
      </c>
      <c r="ACP14" s="90">
        <v>16.39</v>
      </c>
      <c r="ACQ14" s="90">
        <f t="shared" si="475"/>
        <v>106.40634533251982</v>
      </c>
      <c r="ACR14" s="90">
        <f t="shared" si="476"/>
        <v>0</v>
      </c>
      <c r="ACS14" s="90">
        <v>0</v>
      </c>
      <c r="ACT14" s="90"/>
      <c r="ACU14" s="90">
        <f t="shared" si="477"/>
        <v>17.22589</v>
      </c>
      <c r="ACV14" s="90">
        <f t="shared" si="478"/>
        <v>-0.21411000000000158</v>
      </c>
      <c r="ACX14" s="106" t="s">
        <v>457</v>
      </c>
      <c r="ACY14" s="107"/>
      <c r="ACZ14" s="107">
        <v>30000</v>
      </c>
      <c r="ADB14" s="90">
        <f t="shared" si="479"/>
        <v>4.1100000000000003</v>
      </c>
      <c r="ADC14" s="90">
        <f t="shared" si="480"/>
        <v>7.79</v>
      </c>
      <c r="ADD14" s="90">
        <f t="shared" si="481"/>
        <v>4.18</v>
      </c>
      <c r="ADE14" s="90">
        <f>ADF14+ADH14</f>
        <v>0.86</v>
      </c>
      <c r="ADF14" s="90">
        <f t="shared" si="483"/>
        <v>0.86</v>
      </c>
      <c r="ADG14" s="90">
        <f t="shared" si="484"/>
        <v>0.46</v>
      </c>
      <c r="ADH14" s="90">
        <f t="shared" si="484"/>
        <v>0</v>
      </c>
      <c r="ADI14" s="90">
        <f t="shared" si="484"/>
        <v>0</v>
      </c>
      <c r="ADJ14" s="90">
        <f t="shared" si="485"/>
        <v>2.75</v>
      </c>
      <c r="ADK14" s="90">
        <f t="shared" si="486"/>
        <v>0</v>
      </c>
      <c r="ADL14" s="90">
        <f t="shared" si="487"/>
        <v>0</v>
      </c>
      <c r="ADM14" s="90">
        <f t="shared" si="488"/>
        <v>0</v>
      </c>
      <c r="ADN14" s="90">
        <f t="shared" si="488"/>
        <v>0</v>
      </c>
      <c r="ADO14" s="90">
        <f t="shared" si="489"/>
        <v>2.75</v>
      </c>
      <c r="ADP14" s="90">
        <f t="shared" si="490"/>
        <v>4.41</v>
      </c>
      <c r="ADQ14" s="90">
        <f t="shared" si="491"/>
        <v>0.67</v>
      </c>
      <c r="ADR14" s="90">
        <f t="shared" si="492"/>
        <v>16.980000000000004</v>
      </c>
      <c r="ADU14" s="90">
        <f t="shared" si="493"/>
        <v>1.1499999999999999</v>
      </c>
      <c r="ADV14" s="90">
        <f t="shared" si="494"/>
        <v>0.86</v>
      </c>
      <c r="ADW14" s="90">
        <f t="shared" si="495"/>
        <v>2.75</v>
      </c>
      <c r="ADX14" s="90">
        <f t="shared" si="496"/>
        <v>4.1100000000000003</v>
      </c>
      <c r="ADY14" s="90">
        <f t="shared" si="497"/>
        <v>8.11</v>
      </c>
      <c r="ADZ14" s="90">
        <f t="shared" si="498"/>
        <v>0</v>
      </c>
      <c r="AEA14" s="90">
        <f t="shared" si="499"/>
        <v>17.440000000000001</v>
      </c>
      <c r="AEB14" s="90">
        <f t="shared" si="500"/>
        <v>0</v>
      </c>
      <c r="AEC14" s="104">
        <f t="shared" si="501"/>
        <v>16.98</v>
      </c>
      <c r="AED14" s="104">
        <f t="shared" si="502"/>
        <v>0.46000000000000085</v>
      </c>
      <c r="AEG14" s="1">
        <v>7.44</v>
      </c>
      <c r="AEH14" s="1">
        <v>4.21</v>
      </c>
      <c r="AEI14" s="1">
        <v>0.56999999999999995</v>
      </c>
      <c r="AEJ14" s="1">
        <v>2.66</v>
      </c>
      <c r="AEK14" s="1">
        <v>0</v>
      </c>
      <c r="AEL14" s="1">
        <v>0</v>
      </c>
      <c r="AEM14" s="1">
        <v>0</v>
      </c>
      <c r="AEN14" s="1">
        <v>0</v>
      </c>
      <c r="AEO14" s="1">
        <v>0</v>
      </c>
      <c r="AEP14" s="1">
        <v>0</v>
      </c>
      <c r="AEQ14" s="1">
        <v>0</v>
      </c>
      <c r="AER14" s="1">
        <v>0</v>
      </c>
      <c r="AES14" s="1">
        <v>0</v>
      </c>
      <c r="AET14" s="1">
        <v>0</v>
      </c>
      <c r="AEU14" s="1">
        <v>0</v>
      </c>
      <c r="AEV14" s="1">
        <v>0.02</v>
      </c>
      <c r="AEW14" s="1">
        <v>3.91</v>
      </c>
      <c r="AEX14" s="1">
        <v>7.07</v>
      </c>
      <c r="AEY14" s="1">
        <v>6.65</v>
      </c>
      <c r="AEZ14" s="1">
        <v>4.41</v>
      </c>
      <c r="AFA14" s="1">
        <v>0</v>
      </c>
      <c r="AFB14" s="1">
        <v>4.41</v>
      </c>
      <c r="AFC14" s="1">
        <v>227</v>
      </c>
      <c r="AFD14" s="1">
        <v>230.38</v>
      </c>
      <c r="AFE14" s="1">
        <v>0.47</v>
      </c>
      <c r="AFF14" s="1">
        <v>0.16</v>
      </c>
      <c r="AFG14" s="1">
        <v>0.11989898989898991</v>
      </c>
      <c r="AFH14" s="1">
        <v>0.16390000000000002</v>
      </c>
      <c r="AFI14" s="1">
        <v>0.38175323599898991</v>
      </c>
      <c r="AFJ14" s="1">
        <v>0.63</v>
      </c>
      <c r="AFK14" s="1">
        <v>16.39</v>
      </c>
      <c r="AFL14" s="1">
        <v>16.39</v>
      </c>
      <c r="AFM14" s="1">
        <v>0</v>
      </c>
      <c r="AFO14" s="1">
        <v>16.39</v>
      </c>
      <c r="AFP14" s="1">
        <v>0</v>
      </c>
      <c r="AFQ14" s="1">
        <v>16.39</v>
      </c>
      <c r="AFX14" s="1">
        <v>17.18</v>
      </c>
    </row>
    <row r="15" spans="1:856" s="1" customFormat="1" ht="63.75" customHeight="1">
      <c r="A15" s="88">
        <v>7</v>
      </c>
      <c r="B15" s="20"/>
      <c r="C15" s="89" t="s">
        <v>458</v>
      </c>
      <c r="D15" s="20"/>
      <c r="E15" s="20" t="s">
        <v>437</v>
      </c>
      <c r="F15" s="20" t="s">
        <v>438</v>
      </c>
      <c r="G15" s="20">
        <v>0.8</v>
      </c>
      <c r="H15" s="20">
        <v>359.7</v>
      </c>
      <c r="I15" s="20">
        <f>359.7+0.8+0.5+2.3+0.5</f>
        <v>363.8</v>
      </c>
      <c r="J15" s="20">
        <f t="shared" si="0"/>
        <v>291.04000000000002</v>
      </c>
      <c r="K15" s="20">
        <v>8</v>
      </c>
      <c r="L15" s="20"/>
      <c r="M15" s="20"/>
      <c r="N15" s="20"/>
      <c r="O15" s="90">
        <f t="shared" si="1"/>
        <v>0</v>
      </c>
      <c r="P15" s="20"/>
      <c r="Q15" s="20"/>
      <c r="R15" s="90">
        <f t="shared" si="2"/>
        <v>0</v>
      </c>
      <c r="S15" s="20">
        <v>24.2</v>
      </c>
      <c r="T15" s="20">
        <v>2.6</v>
      </c>
      <c r="U15" s="20">
        <v>3.13</v>
      </c>
      <c r="V15" s="91">
        <f t="shared" si="3"/>
        <v>196.94</v>
      </c>
      <c r="W15" s="20">
        <v>2.1000000000000001E-2</v>
      </c>
      <c r="X15" s="20">
        <f t="shared" si="4"/>
        <v>33.42</v>
      </c>
      <c r="Y15" s="91">
        <f t="shared" si="5"/>
        <v>16.98</v>
      </c>
      <c r="Z15" s="20"/>
      <c r="AA15" s="20"/>
      <c r="AB15" s="20"/>
      <c r="AC15" s="91">
        <f t="shared" si="6"/>
        <v>213.92</v>
      </c>
      <c r="AD15" s="90">
        <f t="shared" si="7"/>
        <v>0.59</v>
      </c>
      <c r="AE15" s="92">
        <f t="shared" si="8"/>
        <v>2567.04</v>
      </c>
      <c r="AF15" s="20">
        <v>16</v>
      </c>
      <c r="AG15" s="20">
        <v>13</v>
      </c>
      <c r="AH15" s="20">
        <v>13</v>
      </c>
      <c r="AI15" s="20">
        <v>8</v>
      </c>
      <c r="AJ15" s="20">
        <v>1.6</v>
      </c>
      <c r="AK15" s="90">
        <f t="shared" si="9"/>
        <v>1.73</v>
      </c>
      <c r="AL15" s="90">
        <v>391.01</v>
      </c>
      <c r="AM15" s="90">
        <f t="shared" si="10"/>
        <v>676.45</v>
      </c>
      <c r="AN15" s="20">
        <v>15</v>
      </c>
      <c r="AO15" s="20">
        <v>12</v>
      </c>
      <c r="AP15" s="20">
        <v>16</v>
      </c>
      <c r="AQ15" s="20">
        <v>15</v>
      </c>
      <c r="AR15" s="20">
        <v>12</v>
      </c>
      <c r="AS15" s="20">
        <v>13</v>
      </c>
      <c r="AT15" s="20">
        <f t="shared" si="11"/>
        <v>3</v>
      </c>
      <c r="AU15" s="20">
        <v>1.6</v>
      </c>
      <c r="AV15" s="90">
        <f t="shared" si="12"/>
        <v>2.13</v>
      </c>
      <c r="AW15" s="90">
        <f>ROUND((179.74*6+181.82*6)/12,2)</f>
        <v>180.78</v>
      </c>
      <c r="AX15" s="90">
        <v>313.35000000000002</v>
      </c>
      <c r="AY15" s="90">
        <f t="shared" si="14"/>
        <v>0.86</v>
      </c>
      <c r="AZ15" s="90">
        <f t="shared" si="15"/>
        <v>834.15</v>
      </c>
      <c r="BA15" s="90">
        <f t="shared" si="16"/>
        <v>-520.79999999999995</v>
      </c>
      <c r="BB15" s="90">
        <v>313.35000000000002</v>
      </c>
      <c r="BC15" s="90">
        <v>0.86</v>
      </c>
      <c r="BD15" s="92">
        <f t="shared" si="17"/>
        <v>3760.2000000000003</v>
      </c>
      <c r="BE15" s="90"/>
      <c r="BF15" s="90">
        <f t="shared" si="18"/>
        <v>0</v>
      </c>
      <c r="BG15" s="90">
        <v>391.01</v>
      </c>
      <c r="BH15" s="90">
        <f t="shared" si="19"/>
        <v>832.85</v>
      </c>
      <c r="BI15" s="90">
        <f t="shared" si="20"/>
        <v>2.29</v>
      </c>
      <c r="BJ15" s="90">
        <f t="shared" si="21"/>
        <v>266.27906976744191</v>
      </c>
      <c r="BK15" s="90">
        <f t="shared" si="22"/>
        <v>832.85</v>
      </c>
      <c r="BL15" s="90">
        <f t="shared" si="23"/>
        <v>2.29</v>
      </c>
      <c r="BM15" s="90"/>
      <c r="BN15" s="90">
        <f t="shared" si="24"/>
        <v>0</v>
      </c>
      <c r="BO15" s="90">
        <f t="shared" si="25"/>
        <v>832.85</v>
      </c>
      <c r="BP15" s="90">
        <f t="shared" si="26"/>
        <v>2.2893073117097305</v>
      </c>
      <c r="BQ15" s="90"/>
      <c r="BR15" s="90">
        <f t="shared" si="27"/>
        <v>0</v>
      </c>
      <c r="BS15" s="90">
        <f t="shared" si="28"/>
        <v>832.85</v>
      </c>
      <c r="BT15" s="90">
        <f t="shared" si="29"/>
        <v>2.2893073117097305</v>
      </c>
      <c r="BU15" s="90"/>
      <c r="BV15" s="93">
        <v>1.4356370000000001</v>
      </c>
      <c r="BW15" s="90">
        <f t="shared" si="30"/>
        <v>522.28474060000008</v>
      </c>
      <c r="BX15" s="90">
        <f t="shared" si="31"/>
        <v>553.62182503600013</v>
      </c>
      <c r="BY15" s="90"/>
      <c r="BZ15" s="90"/>
      <c r="CA15" s="90">
        <v>0.2651</v>
      </c>
      <c r="CB15" s="90">
        <f>$I15*CA15</f>
        <v>96.443380000000005</v>
      </c>
      <c r="CC15" s="90">
        <v>0.71072749999999996</v>
      </c>
      <c r="CD15" s="90">
        <f t="shared" si="33"/>
        <v>68.544962358950002</v>
      </c>
      <c r="CE15" s="90">
        <f t="shared" si="34"/>
        <v>103.64694369312473</v>
      </c>
      <c r="CF15" s="90">
        <v>100.40553405098612</v>
      </c>
      <c r="CG15" s="90">
        <f>I15*0.278131673</f>
        <v>101.18430263740001</v>
      </c>
      <c r="CH15" s="90">
        <f t="shared" si="35"/>
        <v>106.04</v>
      </c>
      <c r="CI15" s="90">
        <f t="shared" ref="CI15:CI17" si="503">CH15/($SP15-$HL15)*($SX15-$HN15)</f>
        <v>111.28913724656603</v>
      </c>
      <c r="CJ15" s="90">
        <f t="shared" si="36"/>
        <v>111.87</v>
      </c>
      <c r="CK15" s="90">
        <f t="shared" si="37"/>
        <v>118.31703906147199</v>
      </c>
      <c r="CL15" s="90">
        <f t="shared" si="38"/>
        <v>118.31703906147199</v>
      </c>
      <c r="CM15" s="94">
        <v>0.14899999999999999</v>
      </c>
      <c r="CN15" s="90">
        <f t="shared" si="39"/>
        <v>77.820426349400009</v>
      </c>
      <c r="CO15" s="90">
        <f t="shared" si="40"/>
        <v>82.489651930364019</v>
      </c>
      <c r="CP15" s="90"/>
      <c r="CQ15" s="90">
        <v>3.9539251999999997E-2</v>
      </c>
      <c r="CR15" s="90">
        <f>$I15*CQ15</f>
        <v>14.384379877599999</v>
      </c>
      <c r="CS15" s="90">
        <v>0.71072749999999996</v>
      </c>
      <c r="CT15" s="90">
        <f t="shared" si="42"/>
        <v>10.223374349456952</v>
      </c>
      <c r="CU15" s="90">
        <f t="shared" si="43"/>
        <v>15.45878017997838</v>
      </c>
      <c r="CV15" s="90">
        <f>I15*0.085943583</f>
        <v>31.266275495400002</v>
      </c>
      <c r="CW15" s="90">
        <f t="shared" si="44"/>
        <v>32.770000000000003</v>
      </c>
      <c r="CX15" s="90">
        <f t="shared" ref="CX15:CX17" si="504">CW15/($SP15-$HL15)*($SX15-$HN15)</f>
        <v>34.392163594586656</v>
      </c>
      <c r="CY15" s="90">
        <f t="shared" si="45"/>
        <v>34.57</v>
      </c>
      <c r="CZ15" s="90">
        <f t="shared" si="46"/>
        <v>36.564026499853234</v>
      </c>
      <c r="DA15" s="90">
        <f t="shared" si="47"/>
        <v>36.564026499853234</v>
      </c>
      <c r="DB15" s="93">
        <v>1.4169099999999999</v>
      </c>
      <c r="DC15" s="90">
        <f t="shared" si="48"/>
        <v>515.471858</v>
      </c>
      <c r="DD15" s="90">
        <f t="shared" si="49"/>
        <v>546.40016948000005</v>
      </c>
      <c r="DE15" s="90"/>
      <c r="DF15" s="90"/>
      <c r="DG15" s="90">
        <v>0.16261500000000001</v>
      </c>
      <c r="DH15" s="90">
        <f>$I15*DG15</f>
        <v>59.159337000000008</v>
      </c>
      <c r="DI15" s="90">
        <v>0.71072749999999996</v>
      </c>
      <c r="DJ15" s="90">
        <f t="shared" si="51"/>
        <v>42.046167687667506</v>
      </c>
      <c r="DK15" s="90">
        <f t="shared" si="52"/>
        <v>63.578075249556697</v>
      </c>
      <c r="DL15" s="90">
        <f>I15*0.138251926</f>
        <v>50.2960506788</v>
      </c>
      <c r="DM15" s="90">
        <f t="shared" si="53"/>
        <v>52.71</v>
      </c>
      <c r="DN15" s="90">
        <f t="shared" ref="DN15:DN17" si="505">DM15/($SP15-$HL15)*($SX15-$HN15)</f>
        <v>55.319223163584454</v>
      </c>
      <c r="DO15" s="90">
        <f t="shared" si="54"/>
        <v>55.61</v>
      </c>
      <c r="DP15" s="90">
        <f t="shared" si="55"/>
        <v>58.812628526312601</v>
      </c>
      <c r="DQ15" s="90">
        <f t="shared" si="56"/>
        <v>58.812628526312601</v>
      </c>
      <c r="DR15" s="93">
        <v>5.6880149999999997E-2</v>
      </c>
      <c r="DS15" s="90">
        <f t="shared" si="57"/>
        <v>20.69299857</v>
      </c>
      <c r="DT15" s="90">
        <f t="shared" si="58"/>
        <v>21.934578484200003</v>
      </c>
      <c r="DU15" s="90"/>
      <c r="DV15" s="90">
        <v>6.1506E-3</v>
      </c>
      <c r="DW15" s="90">
        <f>$I15*DV15</f>
        <v>2.2375882800000002</v>
      </c>
      <c r="DX15" s="90">
        <v>0.71072749999999996</v>
      </c>
      <c r="DY15" s="90">
        <f t="shared" si="60"/>
        <v>1.5903155242737002</v>
      </c>
      <c r="DZ15" s="90">
        <f t="shared" si="61"/>
        <v>2.4047185661219652</v>
      </c>
      <c r="EA15" s="90">
        <f t="shared" si="62"/>
        <v>2.52</v>
      </c>
      <c r="EB15" s="90">
        <f t="shared" ref="EB15:EB17" si="506">EA15/($SP15-$HL15)*($SX15-$HN15)</f>
        <v>2.6447437369044358</v>
      </c>
      <c r="EC15" s="90">
        <f t="shared" si="63"/>
        <v>2.66</v>
      </c>
      <c r="ED15" s="90">
        <f t="shared" si="64"/>
        <v>2.8117591327320763</v>
      </c>
      <c r="EE15" s="90">
        <f t="shared" si="65"/>
        <v>2.8117591327320763</v>
      </c>
      <c r="EF15" s="94">
        <v>0.85293354333000004</v>
      </c>
      <c r="EG15" s="90">
        <f t="shared" si="66"/>
        <v>248.23777845076324</v>
      </c>
      <c r="EH15" s="90">
        <f t="shared" si="67"/>
        <v>263.13204515780905</v>
      </c>
      <c r="EI15" s="90"/>
      <c r="EJ15" s="90">
        <v>0.58975</v>
      </c>
      <c r="EK15" s="90">
        <f t="shared" si="68"/>
        <v>171.64084</v>
      </c>
      <c r="EL15" s="90">
        <v>0.71072749999999996</v>
      </c>
      <c r="EM15" s="90">
        <f t="shared" si="69"/>
        <v>121.98986511109999</v>
      </c>
      <c r="EN15" s="90">
        <f t="shared" si="70"/>
        <v>184.46106387935211</v>
      </c>
      <c r="EO15" s="90">
        <f>J15*0.618109699</f>
        <v>179.89464679696002</v>
      </c>
      <c r="EP15" s="90">
        <f t="shared" si="71"/>
        <v>188.53</v>
      </c>
      <c r="EQ15" s="90">
        <f t="shared" ref="EQ15:EQ17" si="507">EP15/($SP15-$HL15)*($SX15-$HN15)</f>
        <v>197.86251457087036</v>
      </c>
      <c r="ER15" s="90">
        <f t="shared" si="72"/>
        <v>198.9</v>
      </c>
      <c r="ES15" s="90">
        <f t="shared" si="73"/>
        <v>210.35751956110255</v>
      </c>
      <c r="ET15" s="90">
        <f t="shared" si="74"/>
        <v>210.35751956110255</v>
      </c>
      <c r="EU15" s="94">
        <v>0.14899999999999999</v>
      </c>
      <c r="EV15" s="90">
        <f t="shared" si="75"/>
        <v>36.987428989163725</v>
      </c>
      <c r="EW15" s="90">
        <f t="shared" si="76"/>
        <v>39.206674728513548</v>
      </c>
      <c r="EX15" s="90"/>
      <c r="EY15" s="90">
        <v>8.7870000000000004E-2</v>
      </c>
      <c r="EZ15" s="90">
        <f t="shared" si="77"/>
        <v>25.573684800000002</v>
      </c>
      <c r="FA15" s="90">
        <v>0.71072749999999996</v>
      </c>
      <c r="FB15" s="90">
        <f t="shared" si="78"/>
        <v>18.175921063692002</v>
      </c>
      <c r="FC15" s="90">
        <f t="shared" si="79"/>
        <v>27.483838377411907</v>
      </c>
      <c r="FD15" s="90">
        <f>J15*0.191129561</f>
        <v>55.626347433440003</v>
      </c>
      <c r="FE15" s="90">
        <f t="shared" si="80"/>
        <v>58.3</v>
      </c>
      <c r="FF15" s="90">
        <f t="shared" ref="FF15:FF17" si="508">FE15/($SP15-$HL15)*($SX15-$HN15)</f>
        <v>61.185936452987541</v>
      </c>
      <c r="FG15" s="90">
        <f t="shared" si="81"/>
        <v>61.51</v>
      </c>
      <c r="FH15" s="90">
        <f t="shared" si="82"/>
        <v>65.049824380269854</v>
      </c>
      <c r="FI15" s="90">
        <f t="shared" si="83"/>
        <v>65.049824380269854</v>
      </c>
      <c r="FJ15" s="93">
        <v>0.49981642240000002</v>
      </c>
      <c r="FK15" s="90">
        <f t="shared" si="84"/>
        <v>145.466571575296</v>
      </c>
      <c r="FL15" s="90">
        <f t="shared" si="85"/>
        <v>154.19456586981377</v>
      </c>
      <c r="FM15" s="90"/>
      <c r="FN15" s="90">
        <v>0.35812500000000003</v>
      </c>
      <c r="FO15" s="90">
        <f t="shared" si="86"/>
        <v>104.22870000000002</v>
      </c>
      <c r="FP15" s="90">
        <v>0.71072749999999996</v>
      </c>
      <c r="FQ15" s="90">
        <f t="shared" si="87"/>
        <v>74.078203379250013</v>
      </c>
      <c r="FR15" s="90">
        <f t="shared" si="88"/>
        <v>112.0137660055837</v>
      </c>
      <c r="FS15" s="90">
        <f>J15*0.303398168</f>
        <v>88.301002814720007</v>
      </c>
      <c r="FT15" s="90">
        <f t="shared" si="89"/>
        <v>92.54</v>
      </c>
      <c r="FU15" s="90">
        <f>J15*0.303651882</f>
        <v>88.374843737280003</v>
      </c>
      <c r="FV15" s="90">
        <f t="shared" si="90"/>
        <v>92.62</v>
      </c>
      <c r="FW15" s="90">
        <f t="shared" ref="FW15:FW17" si="509">FV15/($SP15-$HL15)*($SX15-$HN15)</f>
        <v>97.204827346067006</v>
      </c>
      <c r="FX15" s="90">
        <f t="shared" si="91"/>
        <v>97.71</v>
      </c>
      <c r="FY15" s="90">
        <f t="shared" si="92"/>
        <v>103.34330590224005</v>
      </c>
      <c r="FZ15" s="90">
        <f t="shared" si="93"/>
        <v>103.34330590224005</v>
      </c>
      <c r="GA15" s="94">
        <v>1.352261642E-2</v>
      </c>
      <c r="GB15" s="90">
        <f t="shared" si="94"/>
        <v>3.9356222828768002</v>
      </c>
      <c r="GC15" s="90">
        <f t="shared" si="95"/>
        <v>4.171759619849408</v>
      </c>
      <c r="GD15" s="90"/>
      <c r="GE15" s="90">
        <v>1.0749999999999999E-2</v>
      </c>
      <c r="GF15" s="90">
        <f t="shared" si="96"/>
        <v>3.1286800000000001</v>
      </c>
      <c r="GG15" s="90">
        <v>0.71072749999999996</v>
      </c>
      <c r="GH15" s="90">
        <f t="shared" si="97"/>
        <v>2.2236389147</v>
      </c>
      <c r="GI15" s="90">
        <f t="shared" si="98"/>
        <v>3.3623678451937864</v>
      </c>
      <c r="GJ15" s="90">
        <f t="shared" si="99"/>
        <v>3.52</v>
      </c>
      <c r="GK15" s="90">
        <f t="shared" ref="GK15:GK17" si="510">GJ15/($SP15-$HL15)*($SX15-$HN15)</f>
        <v>3.6942452198030216</v>
      </c>
      <c r="GL15" s="90">
        <f t="shared" si="100"/>
        <v>3.71</v>
      </c>
      <c r="GM15" s="90">
        <f t="shared" si="101"/>
        <v>3.9275365663559159</v>
      </c>
      <c r="GN15" s="90">
        <f t="shared" si="102"/>
        <v>3.9275365663559159</v>
      </c>
      <c r="GO15" s="90">
        <v>1612.8</v>
      </c>
      <c r="GP15" s="90">
        <f t="shared" si="103"/>
        <v>134.4</v>
      </c>
      <c r="GQ15" s="90">
        <f>1058.4+69.3</f>
        <v>1127.7</v>
      </c>
      <c r="GR15" s="90">
        <f t="shared" si="104"/>
        <v>93.975000000000009</v>
      </c>
      <c r="GS15" s="90">
        <f t="shared" si="105"/>
        <v>228.375</v>
      </c>
      <c r="GT15" s="90">
        <f t="shared" si="106"/>
        <v>0.63</v>
      </c>
      <c r="GU15" s="90">
        <v>1535.2</v>
      </c>
      <c r="GV15" s="90">
        <f>836+55.1</f>
        <v>891.1</v>
      </c>
      <c r="GW15" s="90">
        <f t="shared" si="107"/>
        <v>202.19166666666669</v>
      </c>
      <c r="GX15" s="90">
        <f t="shared" si="108"/>
        <v>0.56000000000000005</v>
      </c>
      <c r="GY15" s="90">
        <v>2743.6</v>
      </c>
      <c r="GZ15" s="90">
        <f>889.2+58.9</f>
        <v>948.1</v>
      </c>
      <c r="HA15" s="90">
        <f t="shared" si="109"/>
        <v>307.64166666666665</v>
      </c>
      <c r="HB15" s="90">
        <f t="shared" si="110"/>
        <v>0.85</v>
      </c>
      <c r="HC15" s="90">
        <v>2743.6</v>
      </c>
      <c r="HD15" s="90">
        <f>889.2+58.9</f>
        <v>948.1</v>
      </c>
      <c r="HE15" s="90">
        <f t="shared" si="111"/>
        <v>307.64166666666665</v>
      </c>
      <c r="HF15" s="90">
        <f t="shared" si="112"/>
        <v>0.85</v>
      </c>
      <c r="HG15" s="90"/>
      <c r="HH15" s="90"/>
      <c r="HI15" s="90">
        <v>0.96</v>
      </c>
      <c r="HJ15" s="90">
        <f t="shared" si="113"/>
        <v>349.24799999999999</v>
      </c>
      <c r="HK15" s="90">
        <f t="shared" si="114"/>
        <v>1.0060747663551401</v>
      </c>
      <c r="HL15" s="90">
        <f t="shared" si="115"/>
        <v>366.01</v>
      </c>
      <c r="HM15" s="90">
        <v>1.07</v>
      </c>
      <c r="HN15" s="90">
        <f t="shared" si="116"/>
        <v>389.26600000000002</v>
      </c>
      <c r="HO15" s="90">
        <v>1.1499999999999999</v>
      </c>
      <c r="HP15" s="90">
        <f t="shared" si="117"/>
        <v>418.37</v>
      </c>
      <c r="HQ15" s="90">
        <v>1.1499999999999999</v>
      </c>
      <c r="HR15" s="90">
        <f t="shared" si="118"/>
        <v>418.37</v>
      </c>
      <c r="HS15" s="90">
        <v>0.31919999999999998</v>
      </c>
      <c r="HT15" s="90">
        <f t="shared" si="119"/>
        <v>116.12496</v>
      </c>
      <c r="HU15" s="90" t="e">
        <f>HT15*#REF!</f>
        <v>#REF!</v>
      </c>
      <c r="HV15" s="20">
        <v>2.5</v>
      </c>
      <c r="HW15" s="90">
        <v>3.1</v>
      </c>
      <c r="HX15" s="90">
        <f t="shared" si="120"/>
        <v>1127.78</v>
      </c>
      <c r="HY15" s="90">
        <v>1.06</v>
      </c>
      <c r="HZ15" s="90">
        <f t="shared" si="121"/>
        <v>1195.4467999999999</v>
      </c>
      <c r="IA15" s="90">
        <f t="shared" si="122"/>
        <v>3.29</v>
      </c>
      <c r="IB15" s="90">
        <f t="shared" si="123"/>
        <v>3.45</v>
      </c>
      <c r="IC15" s="90">
        <f t="shared" si="124"/>
        <v>1255.1100000000001</v>
      </c>
      <c r="ID15" s="90">
        <f t="shared" si="125"/>
        <v>3.64</v>
      </c>
      <c r="IE15" s="90">
        <f t="shared" si="126"/>
        <v>1324.23</v>
      </c>
      <c r="IF15" s="90">
        <f t="shared" si="127"/>
        <v>3.64</v>
      </c>
      <c r="IG15" s="92">
        <f t="shared" si="128"/>
        <v>15890.76</v>
      </c>
      <c r="IH15" s="90">
        <v>3.91</v>
      </c>
      <c r="II15" s="90">
        <f t="shared" si="129"/>
        <v>4.1100000000000003</v>
      </c>
      <c r="IJ15" s="90">
        <f t="shared" si="130"/>
        <v>1495.22</v>
      </c>
      <c r="IK15" s="90">
        <f t="shared" si="131"/>
        <v>4.1100000000000003</v>
      </c>
      <c r="IL15" s="90">
        <f t="shared" si="132"/>
        <v>1495.22</v>
      </c>
      <c r="IM15" s="90">
        <f t="shared" si="133"/>
        <v>4.1100000000000003</v>
      </c>
      <c r="IN15" s="90">
        <f t="shared" si="134"/>
        <v>1495.22</v>
      </c>
      <c r="IO15" s="90">
        <f t="shared" si="135"/>
        <v>4.1100000000000003</v>
      </c>
      <c r="IP15" s="93">
        <v>0.37052404126999999</v>
      </c>
      <c r="IQ15" s="90">
        <f t="shared" si="136"/>
        <v>107.8373169712208</v>
      </c>
      <c r="IR15" s="90">
        <f t="shared" si="137"/>
        <v>114.30755598949405</v>
      </c>
      <c r="IS15" s="90">
        <v>108693.96</v>
      </c>
      <c r="IT15" s="90">
        <v>3053.33</v>
      </c>
      <c r="IU15" s="94"/>
      <c r="IV15" s="94"/>
      <c r="IW15" s="94">
        <v>1.6976249999999999</v>
      </c>
      <c r="IX15" s="90">
        <f t="shared" si="138"/>
        <v>494.07678000000004</v>
      </c>
      <c r="IY15" s="93">
        <v>0.56339614052999998</v>
      </c>
      <c r="IZ15" s="90">
        <f t="shared" si="139"/>
        <v>204.963515924814</v>
      </c>
      <c r="JA15" s="90">
        <f t="shared" si="140"/>
        <v>214.8</v>
      </c>
      <c r="JB15" s="90">
        <f t="shared" ref="JB15:JB17" si="511">JA15/($SP15-$HL15)*($SX15-$HN15)</f>
        <v>225.43291852661622</v>
      </c>
      <c r="JC15" s="90">
        <f t="shared" si="141"/>
        <v>226.61</v>
      </c>
      <c r="JD15" s="90">
        <f t="shared" si="142"/>
        <v>239.66899274240083</v>
      </c>
      <c r="JE15" s="90">
        <f t="shared" si="143"/>
        <v>239.66899274240083</v>
      </c>
      <c r="JF15" s="93">
        <v>4.2278943710000003E-2</v>
      </c>
      <c r="JG15" s="90">
        <f t="shared" si="144"/>
        <v>12.304863777358401</v>
      </c>
      <c r="JH15" s="90">
        <f t="shared" si="145"/>
        <v>13.043155603999905</v>
      </c>
      <c r="JI15" s="20">
        <v>462.98</v>
      </c>
      <c r="JJ15" s="20"/>
      <c r="JK15" s="20">
        <v>6.0624999999999998E-2</v>
      </c>
      <c r="JL15" s="90">
        <f t="shared" si="146"/>
        <v>17.644300000000001</v>
      </c>
      <c r="JM15" s="93">
        <v>6.7347080040000007E-2</v>
      </c>
      <c r="JN15" s="90">
        <f t="shared" si="147"/>
        <v>24.500867718552005</v>
      </c>
      <c r="JO15" s="90">
        <f t="shared" si="148"/>
        <v>25.68</v>
      </c>
      <c r="JP15" s="90">
        <f t="shared" ref="JP15:JP17" si="512">JO15/($SP15-$HL15)*($SX15-$HN15)</f>
        <v>26.951198080835681</v>
      </c>
      <c r="JQ15" s="90">
        <f t="shared" si="149"/>
        <v>27.09</v>
      </c>
      <c r="JR15" s="90">
        <f t="shared" si="150"/>
        <v>28.65316449546021</v>
      </c>
      <c r="JS15" s="90">
        <f t="shared" si="151"/>
        <v>28.65316449546021</v>
      </c>
      <c r="JT15" s="93">
        <v>7.3220517000000002E-3</v>
      </c>
      <c r="JU15" s="90">
        <f t="shared" si="152"/>
        <v>2.1310099267680003</v>
      </c>
      <c r="JV15" s="90">
        <f t="shared" si="153"/>
        <v>2.23</v>
      </c>
      <c r="JW15" s="90">
        <f t="shared" ref="JW15:JW17" si="513">JV15/($SP15-$HL15)*($SX15-$HN15)</f>
        <v>2.3403883068638458</v>
      </c>
      <c r="JX15" s="90">
        <f t="shared" si="154"/>
        <v>2.35</v>
      </c>
      <c r="JY15" s="90">
        <f t="shared" si="155"/>
        <v>2.4881836769811625</v>
      </c>
      <c r="JZ15" s="90">
        <f t="shared" si="156"/>
        <v>2.4881836769811625</v>
      </c>
      <c r="KA15" s="90">
        <v>8.3090999999999998E-3</v>
      </c>
      <c r="KB15" s="90">
        <f t="shared" si="157"/>
        <v>2.418280464</v>
      </c>
      <c r="KC15" s="90" t="e">
        <f>KB15*#REF!</f>
        <v>#REF!</v>
      </c>
      <c r="KD15" s="90">
        <v>17710.060000000001</v>
      </c>
      <c r="KE15" s="90">
        <v>17740.79</v>
      </c>
      <c r="KF15" s="90"/>
      <c r="KG15" s="90">
        <f t="shared" si="158"/>
        <v>364.43125556886878</v>
      </c>
      <c r="KH15" s="90" t="e">
        <f>KG15/(BW15+#REF!)*(CB15+#REF!)</f>
        <v>#REF!</v>
      </c>
      <c r="KI15" s="90">
        <v>0.8</v>
      </c>
      <c r="KJ15" s="94"/>
      <c r="KK15" s="90">
        <f t="shared" si="159"/>
        <v>0</v>
      </c>
      <c r="KL15" s="93">
        <v>1.2690177</v>
      </c>
      <c r="KM15" s="90">
        <f t="shared" si="160"/>
        <v>461.66863926000002</v>
      </c>
      <c r="KN15" s="90">
        <f t="shared" si="161"/>
        <v>489.36875761560003</v>
      </c>
      <c r="KO15" s="90" t="e">
        <f>BW15+CN15+DC15+DS15+EG15+EV15+FK15+GB15+#REF!+#REF!+HJ15+HX15+IQ15+JG15+JU15+KK15+KM15</f>
        <v>#REF!</v>
      </c>
      <c r="KP15" s="90"/>
      <c r="KQ15" s="90">
        <v>0.50815001599999998</v>
      </c>
      <c r="KR15" s="90">
        <f t="shared" ref="KR15:KR38" si="514">$I15*KQ15</f>
        <v>184.8649758208</v>
      </c>
      <c r="KS15" s="90">
        <v>0.71072749999999996</v>
      </c>
      <c r="KT15" s="90">
        <f t="shared" si="163"/>
        <v>131.38862210267763</v>
      </c>
      <c r="KU15" s="90">
        <f t="shared" si="164"/>
        <v>198.6729388759428</v>
      </c>
      <c r="KV15" s="90">
        <f t="shared" si="165"/>
        <v>208.21</v>
      </c>
      <c r="KW15" s="90">
        <f t="shared" ref="KW15:KW17" si="515">KV15/($SP15-$HL15)*($SX15-$HN15)</f>
        <v>218.51670375431453</v>
      </c>
      <c r="KX15" s="90">
        <f t="shared" si="166"/>
        <v>219.66</v>
      </c>
      <c r="KY15" s="90">
        <f t="shared" si="167"/>
        <v>232.3160194548197</v>
      </c>
      <c r="KZ15" s="90">
        <f t="shared" si="168"/>
        <v>232.3160194548197</v>
      </c>
      <c r="LA15" s="90">
        <f t="shared" si="169"/>
        <v>1426.0999999999997</v>
      </c>
      <c r="LB15" s="90">
        <f t="shared" si="170"/>
        <v>3.92</v>
      </c>
      <c r="LC15" s="92">
        <f t="shared" si="171"/>
        <v>17113.199999999997</v>
      </c>
      <c r="LD15" s="92">
        <v>4.21</v>
      </c>
      <c r="LE15" s="92">
        <v>1531.6000000000001</v>
      </c>
      <c r="LF15" s="90">
        <f t="shared" si="172"/>
        <v>4.18</v>
      </c>
      <c r="LG15" s="90">
        <f t="shared" si="173"/>
        <v>1520.68</v>
      </c>
      <c r="LH15" s="90">
        <f t="shared" si="174"/>
        <v>1533.0574999999997</v>
      </c>
      <c r="LI15" s="90">
        <f t="shared" si="175"/>
        <v>4.21</v>
      </c>
      <c r="LJ15" s="90">
        <f t="shared" si="176"/>
        <v>1520.6800000000003</v>
      </c>
      <c r="LK15" s="90">
        <f t="shared" si="177"/>
        <v>4.18</v>
      </c>
      <c r="LL15" s="90">
        <f t="shared" si="178"/>
        <v>1520.6800000000003</v>
      </c>
      <c r="LM15" s="90">
        <f t="shared" si="179"/>
        <v>4.18</v>
      </c>
      <c r="LN15" s="95">
        <v>0.46</v>
      </c>
      <c r="LO15" s="95">
        <f t="shared" si="180"/>
        <v>167.35</v>
      </c>
      <c r="LP15" s="95"/>
      <c r="LQ15" s="95">
        <f t="shared" si="181"/>
        <v>0</v>
      </c>
      <c r="LR15" s="90"/>
      <c r="LS15" s="90"/>
      <c r="LT15" s="90">
        <f t="shared" si="182"/>
        <v>0</v>
      </c>
      <c r="LU15" s="90"/>
      <c r="LV15" s="90">
        <f t="shared" si="183"/>
        <v>0</v>
      </c>
      <c r="LW15" s="90">
        <f t="shared" si="184"/>
        <v>0</v>
      </c>
      <c r="LX15" s="90"/>
      <c r="LY15" s="90"/>
      <c r="LZ15" s="90">
        <f t="shared" si="185"/>
        <v>0</v>
      </c>
      <c r="MA15" s="90"/>
      <c r="MB15" s="90">
        <f t="shared" si="186"/>
        <v>0</v>
      </c>
      <c r="MC15" s="90">
        <f t="shared" si="187"/>
        <v>0</v>
      </c>
      <c r="MD15" s="90"/>
      <c r="ME15" s="90"/>
      <c r="MF15" s="90">
        <f t="shared" si="188"/>
        <v>0</v>
      </c>
      <c r="MG15" s="90"/>
      <c r="MH15" s="90">
        <f t="shared" si="189"/>
        <v>0</v>
      </c>
      <c r="MI15" s="90">
        <f t="shared" si="190"/>
        <v>0</v>
      </c>
      <c r="MJ15" s="90"/>
      <c r="MK15" s="90"/>
      <c r="ML15" s="90">
        <f t="shared" si="191"/>
        <v>0</v>
      </c>
      <c r="MM15" s="90"/>
      <c r="MN15" s="90">
        <f t="shared" si="192"/>
        <v>0</v>
      </c>
      <c r="MO15" s="90">
        <f t="shared" si="193"/>
        <v>0</v>
      </c>
      <c r="MP15" s="90">
        <f t="shared" si="194"/>
        <v>0</v>
      </c>
      <c r="MQ15" s="90">
        <f t="shared" si="195"/>
        <v>0</v>
      </c>
      <c r="MR15" s="90">
        <f t="shared" si="196"/>
        <v>0</v>
      </c>
      <c r="MS15" s="90">
        <f t="shared" si="197"/>
        <v>0</v>
      </c>
      <c r="MT15" s="95"/>
      <c r="MU15" s="95">
        <f t="shared" si="198"/>
        <v>0</v>
      </c>
      <c r="MV15" s="92">
        <f t="shared" si="199"/>
        <v>0</v>
      </c>
      <c r="MW15" s="95"/>
      <c r="MX15" s="95">
        <f t="shared" si="200"/>
        <v>0</v>
      </c>
      <c r="MY15" s="95"/>
      <c r="MZ15" s="95">
        <f t="shared" si="201"/>
        <v>0</v>
      </c>
      <c r="NA15" s="95"/>
      <c r="NB15" s="95">
        <f t="shared" si="202"/>
        <v>0</v>
      </c>
      <c r="NC15" s="92">
        <f t="shared" si="203"/>
        <v>0</v>
      </c>
      <c r="ND15" s="95"/>
      <c r="NE15" s="95">
        <f t="shared" si="204"/>
        <v>0</v>
      </c>
      <c r="NF15" s="95"/>
      <c r="NG15" s="95">
        <f t="shared" si="205"/>
        <v>0</v>
      </c>
      <c r="NH15" s="95"/>
      <c r="NI15" s="95"/>
      <c r="NJ15" s="95">
        <f t="shared" si="206"/>
        <v>0</v>
      </c>
      <c r="NK15" s="92">
        <f t="shared" si="207"/>
        <v>0</v>
      </c>
      <c r="NL15" s="95"/>
      <c r="NM15" s="95">
        <f t="shared" si="208"/>
        <v>0</v>
      </c>
      <c r="NN15" s="95"/>
      <c r="NO15" s="95">
        <f t="shared" si="209"/>
        <v>0</v>
      </c>
      <c r="NP15" s="95"/>
      <c r="NQ15" s="95">
        <f t="shared" si="210"/>
        <v>0</v>
      </c>
      <c r="NR15" s="92">
        <f t="shared" si="211"/>
        <v>0</v>
      </c>
      <c r="NS15" s="95"/>
      <c r="NT15" s="95">
        <f t="shared" si="212"/>
        <v>0</v>
      </c>
      <c r="NU15" s="95"/>
      <c r="NV15" s="95">
        <f t="shared" si="213"/>
        <v>0</v>
      </c>
      <c r="NW15" s="95"/>
      <c r="NX15" s="95">
        <f t="shared" si="214"/>
        <v>0</v>
      </c>
      <c r="NY15" s="92">
        <f t="shared" si="215"/>
        <v>0</v>
      </c>
      <c r="NZ15" s="95"/>
      <c r="OA15" s="95">
        <f t="shared" si="216"/>
        <v>0</v>
      </c>
      <c r="OB15" s="95"/>
      <c r="OC15" s="95">
        <f t="shared" si="217"/>
        <v>0</v>
      </c>
      <c r="OD15" s="90">
        <v>2099.13</v>
      </c>
      <c r="OE15" s="90">
        <f t="shared" si="218"/>
        <v>5.77</v>
      </c>
      <c r="OF15" s="92">
        <f t="shared" si="219"/>
        <v>25189.56</v>
      </c>
      <c r="OG15" s="96">
        <v>313.35000000000002</v>
      </c>
      <c r="OH15" s="96">
        <v>0.86</v>
      </c>
      <c r="OI15" s="90">
        <v>2415.5300000000002</v>
      </c>
      <c r="OJ15" s="90">
        <f t="shared" si="220"/>
        <v>6.64</v>
      </c>
      <c r="OK15" s="90">
        <f t="shared" si="221"/>
        <v>2412.48</v>
      </c>
      <c r="OL15" s="90">
        <f t="shared" si="222"/>
        <v>6.63</v>
      </c>
      <c r="OM15" s="90">
        <f t="shared" si="223"/>
        <v>9.9999999999997868E-3</v>
      </c>
      <c r="ON15" s="90">
        <v>2102.7600000000002</v>
      </c>
      <c r="OO15" s="90">
        <f t="shared" si="224"/>
        <v>5.78</v>
      </c>
      <c r="OP15" s="90">
        <v>2102.1800000000003</v>
      </c>
      <c r="OQ15" s="90">
        <v>5.78</v>
      </c>
      <c r="OR15" s="90">
        <f t="shared" si="225"/>
        <v>0</v>
      </c>
      <c r="OS15" s="90">
        <f t="shared" si="226"/>
        <v>5.7799999999999994</v>
      </c>
      <c r="OT15" s="90">
        <v>2102.7600000000002</v>
      </c>
      <c r="OU15" s="90">
        <f t="shared" si="227"/>
        <v>5.78</v>
      </c>
      <c r="OV15" s="97">
        <v>1738.96</v>
      </c>
      <c r="OW15" s="90">
        <f t="shared" si="228"/>
        <v>2284.66</v>
      </c>
      <c r="OX15" s="90">
        <f t="shared" si="229"/>
        <v>6.28</v>
      </c>
      <c r="OY15" s="90">
        <f>OU15-1+1.5</f>
        <v>6.28</v>
      </c>
      <c r="OZ15" s="90"/>
      <c r="PA15" s="90"/>
      <c r="PB15" s="95">
        <f t="shared" si="230"/>
        <v>0</v>
      </c>
      <c r="PC15" s="92">
        <f t="shared" si="231"/>
        <v>0</v>
      </c>
      <c r="PD15" s="90"/>
      <c r="PE15" s="95">
        <f t="shared" si="232"/>
        <v>0</v>
      </c>
      <c r="PF15" s="90">
        <f t="shared" si="233"/>
        <v>5391.1849999999995</v>
      </c>
      <c r="PG15" s="90">
        <f t="shared" si="234"/>
        <v>14.82</v>
      </c>
      <c r="PH15" s="90">
        <f t="shared" si="235"/>
        <v>6608.4016666666676</v>
      </c>
      <c r="PI15" s="90">
        <f t="shared" si="236"/>
        <v>18.16</v>
      </c>
      <c r="PJ15" s="90">
        <f t="shared" si="237"/>
        <v>6608.4016666666676</v>
      </c>
      <c r="PK15" s="90">
        <f t="shared" si="238"/>
        <v>18.16</v>
      </c>
      <c r="PL15" s="90"/>
      <c r="PM15" s="90">
        <f t="shared" si="239"/>
        <v>161.74</v>
      </c>
      <c r="PN15" s="90">
        <f t="shared" si="240"/>
        <v>0.44</v>
      </c>
      <c r="PO15" s="92">
        <f t="shared" si="241"/>
        <v>1940.88</v>
      </c>
      <c r="PP15" s="90">
        <f t="shared" si="242"/>
        <v>198.25</v>
      </c>
      <c r="PQ15" s="90">
        <f t="shared" si="243"/>
        <v>0.54</v>
      </c>
      <c r="PR15" s="90">
        <f t="shared" si="244"/>
        <v>198.25</v>
      </c>
      <c r="PS15" s="90">
        <f t="shared" si="245"/>
        <v>0.54</v>
      </c>
      <c r="PT15" s="90">
        <f t="shared" si="246"/>
        <v>5552.9249999999993</v>
      </c>
      <c r="PU15" s="90">
        <f t="shared" si="247"/>
        <v>15.26</v>
      </c>
      <c r="PV15" s="90">
        <f t="shared" si="248"/>
        <v>6806.6516666666676</v>
      </c>
      <c r="PW15" s="90">
        <f t="shared" si="249"/>
        <v>18.71</v>
      </c>
      <c r="PX15" s="90">
        <f t="shared" si="250"/>
        <v>6806.6516666666676</v>
      </c>
      <c r="PY15" s="90">
        <f t="shared" si="251"/>
        <v>18.71</v>
      </c>
      <c r="PZ15" s="90">
        <f t="shared" si="252"/>
        <v>56.09</v>
      </c>
      <c r="QA15" s="90">
        <f t="shared" si="253"/>
        <v>0.15</v>
      </c>
      <c r="QB15" s="92">
        <f t="shared" si="254"/>
        <v>673.08</v>
      </c>
      <c r="QC15" s="90">
        <f t="shared" si="255"/>
        <v>68.75</v>
      </c>
      <c r="QD15" s="90">
        <f t="shared" si="256"/>
        <v>0.19</v>
      </c>
      <c r="QE15" s="90">
        <f t="shared" si="257"/>
        <v>68.75</v>
      </c>
      <c r="QF15" s="90">
        <f t="shared" si="258"/>
        <v>0.19</v>
      </c>
      <c r="QG15" s="90">
        <f t="shared" si="259"/>
        <v>5609.0149999999994</v>
      </c>
      <c r="QH15" s="90">
        <f t="shared" si="260"/>
        <v>15.42</v>
      </c>
      <c r="QI15" s="92">
        <f t="shared" si="261"/>
        <v>67308.179999999993</v>
      </c>
      <c r="QJ15" s="90">
        <f t="shared" si="262"/>
        <v>233.93670375431452</v>
      </c>
      <c r="QK15" s="98">
        <f t="shared" si="263"/>
        <v>0.25169999999999998</v>
      </c>
      <c r="QL15" s="90">
        <f t="shared" si="264"/>
        <v>91.568460000000002</v>
      </c>
      <c r="QM15" s="90">
        <f t="shared" si="265"/>
        <v>0.1128</v>
      </c>
      <c r="QN15" s="90">
        <f t="shared" si="266"/>
        <v>41.036639999999998</v>
      </c>
      <c r="QO15" s="90">
        <v>0.21869999999999998</v>
      </c>
      <c r="QP15" s="90">
        <v>0.14579999999999999</v>
      </c>
      <c r="QQ15" s="97">
        <f t="shared" si="267"/>
        <v>132.60509999999999</v>
      </c>
      <c r="QR15" s="97">
        <v>131.58449999999999</v>
      </c>
      <c r="QS15" s="97">
        <f t="shared" si="268"/>
        <v>1.0206000000000017</v>
      </c>
      <c r="QT15" s="90"/>
      <c r="QU15" s="90">
        <f t="shared" si="269"/>
        <v>0.1128</v>
      </c>
      <c r="QV15" s="90">
        <f t="shared" si="270"/>
        <v>41.036639999999998</v>
      </c>
      <c r="QW15" s="90">
        <f t="shared" si="271"/>
        <v>132.60509999999999</v>
      </c>
      <c r="QX15" s="90">
        <f t="shared" si="272"/>
        <v>0.36449999999999999</v>
      </c>
      <c r="QY15" s="90"/>
      <c r="QZ15" s="90"/>
      <c r="RA15" s="90"/>
      <c r="RB15" s="90">
        <v>1353.94</v>
      </c>
      <c r="RC15" s="97">
        <f t="shared" si="273"/>
        <v>5609.0149999999994</v>
      </c>
      <c r="RD15" s="97">
        <f t="shared" si="274"/>
        <v>15.42</v>
      </c>
      <c r="RE15" s="90">
        <f t="shared" si="275"/>
        <v>6875.4016666666676</v>
      </c>
      <c r="RF15" s="90">
        <f t="shared" si="276"/>
        <v>18.899999999999999</v>
      </c>
      <c r="RG15" s="90">
        <f t="shared" si="277"/>
        <v>122.64763140817649</v>
      </c>
      <c r="RH15" s="90">
        <f t="shared" si="278"/>
        <v>6875.4016666666676</v>
      </c>
      <c r="RI15" s="90">
        <f t="shared" si="279"/>
        <v>18.899999999999999</v>
      </c>
      <c r="RJ15" s="90">
        <v>17.07</v>
      </c>
      <c r="RK15" s="90">
        <v>0</v>
      </c>
      <c r="RL15" s="90">
        <f t="shared" si="280"/>
        <v>1.8299999999999983</v>
      </c>
      <c r="RM15" s="90">
        <f t="shared" si="281"/>
        <v>116.45101663585953</v>
      </c>
      <c r="RN15" s="90">
        <f t="shared" si="282"/>
        <v>3371.5749999999998</v>
      </c>
      <c r="RO15" s="90"/>
      <c r="RP15" s="90"/>
      <c r="RQ15" s="99">
        <v>833</v>
      </c>
      <c r="RR15" s="90">
        <f t="shared" si="283"/>
        <v>3509.8849999999993</v>
      </c>
      <c r="RS15" s="90">
        <f t="shared" si="284"/>
        <v>9.6478422210005483</v>
      </c>
      <c r="RT15" s="90">
        <v>11.28</v>
      </c>
      <c r="RU15" s="90">
        <f t="shared" si="285"/>
        <v>4103.6639999999998</v>
      </c>
      <c r="RV15" s="90">
        <f t="shared" si="286"/>
        <v>0.64303656886837413</v>
      </c>
      <c r="RW15" s="20">
        <v>10.43</v>
      </c>
      <c r="RX15" s="90">
        <f t="shared" si="287"/>
        <v>10.951499999999999</v>
      </c>
      <c r="RY15" s="90">
        <f t="shared" si="288"/>
        <v>3984.1556999999998</v>
      </c>
      <c r="RZ15" s="90">
        <f t="shared" si="289"/>
        <v>1051.1044640619018</v>
      </c>
      <c r="SA15" s="90">
        <f t="shared" si="290"/>
        <v>470.26107049176773</v>
      </c>
      <c r="SB15" s="90">
        <f t="shared" si="291"/>
        <v>711.08249267226597</v>
      </c>
      <c r="SC15" s="90">
        <f t="shared" si="292"/>
        <v>1291.9258862423999</v>
      </c>
      <c r="SD15" s="90">
        <f t="shared" si="293"/>
        <v>1291.9258862424001</v>
      </c>
      <c r="SE15" s="90">
        <f t="shared" si="294"/>
        <v>1311.3977214947927</v>
      </c>
      <c r="SF15" s="90">
        <f t="shared" si="295"/>
        <v>1291.0732761276986</v>
      </c>
      <c r="SG15" s="90">
        <f t="shared" si="296"/>
        <v>0.85261011470129233</v>
      </c>
      <c r="SH15" s="90">
        <f t="shared" si="297"/>
        <v>1291.1471170502587</v>
      </c>
      <c r="SI15" s="90">
        <f t="shared" si="298"/>
        <v>3.5511981480000001</v>
      </c>
      <c r="SJ15" s="90">
        <f t="shared" si="299"/>
        <v>3.5488545248150043</v>
      </c>
      <c r="SK15" s="90"/>
      <c r="SL15" s="90"/>
      <c r="SM15" s="90"/>
      <c r="SN15" s="90">
        <f t="shared" si="300"/>
        <v>1383.14</v>
      </c>
      <c r="SO15" s="90" t="e">
        <f>RU15-#REF!-#REF!-HZ15-LT15-LZ15-MF15-ML15-QL15-QN15-SD15</f>
        <v>#REF!</v>
      </c>
      <c r="SP15" s="90">
        <f t="shared" si="301"/>
        <v>1353.94</v>
      </c>
      <c r="SQ15" s="90">
        <f t="shared" si="302"/>
        <v>1426.0999999999997</v>
      </c>
      <c r="SR15" s="90">
        <f t="shared" si="303"/>
        <v>3.7216602528862013</v>
      </c>
      <c r="SS15" s="90">
        <f t="shared" si="304"/>
        <v>3.9200109950522255</v>
      </c>
      <c r="ST15" s="90">
        <f t="shared" si="305"/>
        <v>1431.5160000000001</v>
      </c>
      <c r="SU15" s="90">
        <v>3.7216602528862013</v>
      </c>
      <c r="SV15" s="90">
        <f t="shared" si="306"/>
        <v>3.93</v>
      </c>
      <c r="SW15" s="90">
        <v>3.92</v>
      </c>
      <c r="SX15" s="90">
        <f t="shared" si="307"/>
        <v>1426.1</v>
      </c>
      <c r="SY15" s="90">
        <v>3.7216343490304715</v>
      </c>
      <c r="SZ15" s="90">
        <f t="shared" si="308"/>
        <v>1353.9305761772855</v>
      </c>
      <c r="TA15" s="90">
        <f t="shared" si="309"/>
        <v>-9.4238227145524434E-3</v>
      </c>
      <c r="TB15" s="90">
        <v>0</v>
      </c>
      <c r="TC15" s="90">
        <f t="shared" si="310"/>
        <v>954.68389999999999</v>
      </c>
      <c r="TD15" s="90" t="e">
        <f>#REF!+#REF!</f>
        <v>#REF!</v>
      </c>
      <c r="TE15" s="90" t="e">
        <f t="shared" si="311"/>
        <v>#REF!</v>
      </c>
      <c r="TF15" s="90">
        <v>767.57556666666642</v>
      </c>
      <c r="TG15" s="90">
        <f t="shared" si="312"/>
        <v>23.264182935055114</v>
      </c>
      <c r="TH15" s="95"/>
      <c r="TI15" s="95"/>
      <c r="TJ15" s="95"/>
      <c r="TK15" s="95"/>
      <c r="TL15" s="95"/>
      <c r="TM15" s="95">
        <f t="shared" si="313"/>
        <v>0</v>
      </c>
      <c r="TN15" s="95">
        <f t="shared" si="314"/>
        <v>4103.6639999999998</v>
      </c>
      <c r="TO15" s="95">
        <f t="shared" si="315"/>
        <v>23.264182935055114</v>
      </c>
      <c r="TP15" s="95"/>
      <c r="TQ15" s="95">
        <f t="shared" si="316"/>
        <v>11.28</v>
      </c>
      <c r="TR15" s="95"/>
      <c r="TS15" s="95"/>
      <c r="TT15" s="95"/>
      <c r="TU15" s="95"/>
      <c r="TV15" s="95"/>
      <c r="TW15" s="95"/>
      <c r="TX15" s="95"/>
      <c r="TY15" s="95"/>
      <c r="TZ15" s="95">
        <f t="shared" si="317"/>
        <v>3.2313829787234045</v>
      </c>
      <c r="UA15" s="95">
        <f t="shared" si="318"/>
        <v>0.49632000000000004</v>
      </c>
      <c r="UB15" s="90">
        <v>0</v>
      </c>
      <c r="UC15" s="90">
        <f t="shared" si="319"/>
        <v>0</v>
      </c>
      <c r="UD15" s="90">
        <f t="shared" si="320"/>
        <v>0</v>
      </c>
      <c r="UE15" s="90">
        <f t="shared" si="321"/>
        <v>0</v>
      </c>
      <c r="UF15" s="90">
        <f t="shared" si="322"/>
        <v>4103.6639999999998</v>
      </c>
      <c r="UG15" s="91">
        <f t="shared" si="323"/>
        <v>0</v>
      </c>
      <c r="UH15" s="95">
        <f t="shared" si="324"/>
        <v>23.264182935055114</v>
      </c>
      <c r="UI15" s="95">
        <f t="shared" si="325"/>
        <v>4103.6639999999998</v>
      </c>
      <c r="UJ15" s="101">
        <f t="shared" si="326"/>
        <v>0</v>
      </c>
      <c r="UK15" s="101">
        <f t="shared" si="327"/>
        <v>23.264182935055114</v>
      </c>
      <c r="UL15" s="90" t="e">
        <f>(#REF!+#REF!+HZ15+LT15+LZ15+MF15+ML15+QL15+QN15+SN15+TC15+TM15+UC15)/I15</f>
        <v>#REF!</v>
      </c>
      <c r="UN15" s="90" t="e">
        <f>#REF!/I15</f>
        <v>#REF!</v>
      </c>
      <c r="UO15" s="90" t="e">
        <f>#REF!/I15</f>
        <v>#REF!</v>
      </c>
      <c r="UP15" s="90">
        <v>1.1499999999999999</v>
      </c>
      <c r="UQ15" s="90" t="e">
        <f t="shared" si="328"/>
        <v>#REF!</v>
      </c>
      <c r="UR15" s="90">
        <f t="shared" si="329"/>
        <v>3509.8849999999993</v>
      </c>
      <c r="US15" s="90">
        <f t="shared" si="330"/>
        <v>4317.9416666666675</v>
      </c>
      <c r="UT15" s="90">
        <f t="shared" si="331"/>
        <v>4317.9416666666675</v>
      </c>
      <c r="UU15" s="90">
        <f t="shared" ref="UU15:UU57" si="516">BH15+GW15+IJ15+LL15+LO15+LQ15+LW15+MC15+MI15+MO15+MX15+NE15+NM15+NT15+OA15+PR15+QE15</f>
        <v>4485.291666666667</v>
      </c>
      <c r="UV15" s="90">
        <f t="shared" si="333"/>
        <v>4423.3916666666673</v>
      </c>
      <c r="UW15" s="90">
        <f t="shared" si="334"/>
        <v>5.41</v>
      </c>
      <c r="UX15" s="90">
        <f t="shared" si="335"/>
        <v>3.92</v>
      </c>
      <c r="UY15" s="90">
        <f t="shared" si="336"/>
        <v>3.8019241341396373</v>
      </c>
      <c r="UZ15" s="100">
        <f t="shared" si="337"/>
        <v>3.5511981480000001</v>
      </c>
      <c r="VA15" s="90">
        <f t="shared" si="338"/>
        <v>0.63</v>
      </c>
      <c r="VB15" s="90">
        <f t="shared" si="339"/>
        <v>0.86</v>
      </c>
      <c r="VC15" s="90">
        <f t="shared" si="340"/>
        <v>0</v>
      </c>
      <c r="VD15" s="90">
        <f t="shared" si="341"/>
        <v>0</v>
      </c>
      <c r="VE15" s="90">
        <f t="shared" si="342"/>
        <v>0</v>
      </c>
      <c r="VF15" s="90">
        <f t="shared" si="343"/>
        <v>0</v>
      </c>
      <c r="VG15" s="90">
        <f t="shared" si="344"/>
        <v>0</v>
      </c>
      <c r="VH15" s="90">
        <f t="shared" si="345"/>
        <v>0</v>
      </c>
      <c r="VI15" s="90">
        <f t="shared" si="346"/>
        <v>0</v>
      </c>
      <c r="VJ15" s="90">
        <f t="shared" si="347"/>
        <v>0</v>
      </c>
      <c r="VK15" s="90">
        <f t="shared" si="348"/>
        <v>0.59</v>
      </c>
      <c r="VL15" s="90">
        <f t="shared" si="349"/>
        <v>3.64</v>
      </c>
      <c r="VM15" s="90">
        <f t="shared" si="350"/>
        <v>5.77</v>
      </c>
      <c r="VN15" s="90">
        <f t="shared" si="351"/>
        <v>0</v>
      </c>
      <c r="VO15" s="90">
        <f t="shared" si="352"/>
        <v>5.77</v>
      </c>
      <c r="VP15" s="97">
        <v>0</v>
      </c>
      <c r="VQ15" s="97">
        <v>5.77</v>
      </c>
      <c r="VR15" s="90">
        <f t="shared" si="353"/>
        <v>0.44</v>
      </c>
      <c r="VS15" s="90">
        <f t="shared" si="354"/>
        <v>0.15</v>
      </c>
      <c r="VT15" s="90">
        <v>0.11989898989898991</v>
      </c>
      <c r="VU15" s="90">
        <f t="shared" si="355"/>
        <v>0.15410000000000001</v>
      </c>
      <c r="VV15" s="90">
        <v>0.38175323599898991</v>
      </c>
      <c r="VW15" s="90">
        <f t="shared" si="356"/>
        <v>0.59</v>
      </c>
      <c r="VX15" s="90">
        <f t="shared" si="357"/>
        <v>15.41</v>
      </c>
      <c r="VY15" s="90">
        <f t="shared" si="358"/>
        <v>15.41</v>
      </c>
      <c r="VZ15" s="90">
        <f t="shared" si="359"/>
        <v>0</v>
      </c>
      <c r="WA15" s="90"/>
      <c r="WB15" s="90">
        <f t="shared" si="360"/>
        <v>15.41</v>
      </c>
      <c r="WC15" s="90">
        <f t="shared" si="361"/>
        <v>0</v>
      </c>
      <c r="WD15" s="90"/>
      <c r="WE15" s="90">
        <v>15.41</v>
      </c>
      <c r="WF15" s="90"/>
      <c r="WG15" s="90">
        <f t="shared" si="362"/>
        <v>5606.1580000000004</v>
      </c>
      <c r="WH15" s="90">
        <f t="shared" si="363"/>
        <v>5606.1580000000004</v>
      </c>
      <c r="WI15" s="90">
        <f t="shared" si="364"/>
        <v>5609.0149999999994</v>
      </c>
      <c r="WJ15" s="90">
        <f t="shared" si="365"/>
        <v>3509.8849999999993</v>
      </c>
      <c r="WK15" s="97">
        <v>2099.13</v>
      </c>
      <c r="WL15" s="97">
        <v>5.77</v>
      </c>
      <c r="WM15" s="90">
        <f t="shared" si="366"/>
        <v>2099.13</v>
      </c>
      <c r="WN15" s="90">
        <f t="shared" si="367"/>
        <v>5.77</v>
      </c>
      <c r="WO15" s="90"/>
      <c r="WP15" s="97">
        <v>15.41</v>
      </c>
      <c r="WQ15" s="90">
        <f t="shared" si="368"/>
        <v>15.41</v>
      </c>
      <c r="WR15" s="91">
        <f t="shared" si="369"/>
        <v>136.61347517730496</v>
      </c>
      <c r="WS15" s="91">
        <f t="shared" si="370"/>
        <v>136.61347517730496</v>
      </c>
      <c r="WT15" s="90">
        <f t="shared" si="371"/>
        <v>5606.16</v>
      </c>
      <c r="WU15" s="90">
        <f t="shared" si="372"/>
        <v>5609.0149999999994</v>
      </c>
      <c r="WV15" s="90">
        <f t="shared" si="373"/>
        <v>-2.8549999999995634</v>
      </c>
      <c r="WW15" s="90"/>
      <c r="WX15" s="90"/>
      <c r="WY15" s="90"/>
      <c r="WZ15" s="90">
        <f t="shared" si="374"/>
        <v>2.3919959595959592</v>
      </c>
      <c r="XA15" s="90">
        <v>0</v>
      </c>
      <c r="XB15" s="90">
        <f t="shared" si="375"/>
        <v>2.3919959595959592</v>
      </c>
      <c r="XC15" s="90">
        <f t="shared" si="376"/>
        <v>0.35759999999999997</v>
      </c>
      <c r="XD15" s="90">
        <f t="shared" si="377"/>
        <v>0.1204040404040404</v>
      </c>
      <c r="XE15" s="90"/>
      <c r="XF15" s="90">
        <f t="shared" si="378"/>
        <v>11.92</v>
      </c>
      <c r="XG15" s="90">
        <v>2.1098833608209633</v>
      </c>
      <c r="XH15" s="20">
        <v>11.28</v>
      </c>
      <c r="XI15" s="20">
        <v>0</v>
      </c>
      <c r="XJ15" s="20"/>
      <c r="XK15" s="20"/>
      <c r="XL15" s="20"/>
      <c r="XM15" s="20">
        <f t="shared" si="379"/>
        <v>11.28</v>
      </c>
      <c r="XN15" s="91">
        <f t="shared" si="380"/>
        <v>136.61347517730496</v>
      </c>
      <c r="XO15" s="20">
        <f t="shared" si="381"/>
        <v>11.28</v>
      </c>
      <c r="XP15" s="90">
        <f t="shared" si="382"/>
        <v>11.28</v>
      </c>
      <c r="XQ15" s="91">
        <f t="shared" si="383"/>
        <v>136.61347517730496</v>
      </c>
      <c r="XR15" s="102"/>
      <c r="XS15" s="90">
        <f t="shared" si="384"/>
        <v>3.64</v>
      </c>
      <c r="XT15" s="90">
        <f t="shared" si="385"/>
        <v>5.41</v>
      </c>
      <c r="XU15" s="90">
        <f t="shared" si="386"/>
        <v>3.92</v>
      </c>
      <c r="XV15" s="90">
        <f t="shared" si="387"/>
        <v>0.63</v>
      </c>
      <c r="XW15" s="90">
        <f t="shared" si="388"/>
        <v>0.63</v>
      </c>
      <c r="XX15" s="90">
        <f t="shared" si="389"/>
        <v>0</v>
      </c>
      <c r="XY15" s="90">
        <f t="shared" si="390"/>
        <v>0.86</v>
      </c>
      <c r="XZ15" s="90">
        <f t="shared" si="391"/>
        <v>0</v>
      </c>
      <c r="YA15" s="90">
        <f t="shared" si="392"/>
        <v>0</v>
      </c>
      <c r="YB15" s="90">
        <f t="shared" si="393"/>
        <v>0</v>
      </c>
      <c r="YC15" s="90">
        <f t="shared" si="393"/>
        <v>0</v>
      </c>
      <c r="YD15" s="90">
        <f t="shared" si="394"/>
        <v>0.86</v>
      </c>
      <c r="YE15" s="90">
        <f t="shared" si="395"/>
        <v>5.77</v>
      </c>
      <c r="YF15" s="90">
        <f t="shared" si="396"/>
        <v>0.59</v>
      </c>
      <c r="YG15" s="90">
        <f t="shared" si="397"/>
        <v>15.41</v>
      </c>
      <c r="YI15" s="103" t="s">
        <v>442</v>
      </c>
      <c r="YK15" s="90">
        <f t="shared" si="398"/>
        <v>1.07</v>
      </c>
      <c r="YL15" s="90">
        <f t="shared" si="399"/>
        <v>0.63</v>
      </c>
      <c r="YM15" s="90">
        <f t="shared" si="399"/>
        <v>0.86</v>
      </c>
      <c r="YN15" s="90">
        <f t="shared" si="400"/>
        <v>3.64</v>
      </c>
      <c r="YO15" s="90">
        <f t="shared" si="401"/>
        <v>9.2099999999999991</v>
      </c>
      <c r="YP15" s="90">
        <f t="shared" si="402"/>
        <v>0</v>
      </c>
      <c r="YQ15" s="90">
        <f t="shared" si="403"/>
        <v>15.41</v>
      </c>
      <c r="YR15" s="90">
        <f t="shared" si="404"/>
        <v>0</v>
      </c>
      <c r="YS15" s="104">
        <f t="shared" si="405"/>
        <v>15.41</v>
      </c>
      <c r="YT15" s="104">
        <f t="shared" si="406"/>
        <v>0</v>
      </c>
      <c r="YY15" s="90">
        <f t="shared" si="407"/>
        <v>7.03</v>
      </c>
      <c r="YZ15" s="90">
        <f t="shared" si="408"/>
        <v>4.18</v>
      </c>
      <c r="ZA15" s="90">
        <f t="shared" si="409"/>
        <v>0.56000000000000005</v>
      </c>
      <c r="ZB15" s="90">
        <f t="shared" si="410"/>
        <v>2.29</v>
      </c>
      <c r="ZC15" s="90">
        <f t="shared" si="411"/>
        <v>0</v>
      </c>
      <c r="ZD15" s="90">
        <f t="shared" si="412"/>
        <v>0</v>
      </c>
      <c r="ZE15" s="90">
        <f t="shared" si="413"/>
        <v>0</v>
      </c>
      <c r="ZF15" s="90">
        <f t="shared" si="414"/>
        <v>0</v>
      </c>
      <c r="ZG15" s="90">
        <f t="shared" si="415"/>
        <v>0</v>
      </c>
      <c r="ZH15" s="90">
        <f t="shared" si="416"/>
        <v>0</v>
      </c>
      <c r="ZI15" s="90">
        <f t="shared" si="417"/>
        <v>0</v>
      </c>
      <c r="ZJ15" s="90">
        <f t="shared" si="418"/>
        <v>0</v>
      </c>
      <c r="ZK15" s="90">
        <f t="shared" si="419"/>
        <v>0</v>
      </c>
      <c r="ZL15" s="90">
        <f t="shared" si="420"/>
        <v>0.03</v>
      </c>
      <c r="ZM15" s="90">
        <f t="shared" si="421"/>
        <v>4.1100000000000003</v>
      </c>
      <c r="ZN15" s="90">
        <f t="shared" si="422"/>
        <v>8.57</v>
      </c>
      <c r="ZO15" s="90">
        <f t="shared" si="423"/>
        <v>6.63</v>
      </c>
      <c r="ZP15" s="90">
        <f t="shared" si="424"/>
        <v>6.28</v>
      </c>
      <c r="ZQ15" s="90">
        <f t="shared" si="425"/>
        <v>0</v>
      </c>
      <c r="ZR15" s="90">
        <f t="shared" si="426"/>
        <v>6.28</v>
      </c>
      <c r="ZS15" s="97">
        <v>227</v>
      </c>
      <c r="ZT15" s="97">
        <v>230.38</v>
      </c>
      <c r="ZU15" s="90">
        <f t="shared" si="427"/>
        <v>0.54</v>
      </c>
      <c r="ZV15" s="90">
        <f t="shared" si="428"/>
        <v>0.19</v>
      </c>
      <c r="ZW15" s="90">
        <v>0.11989898989898991</v>
      </c>
      <c r="ZX15" s="90">
        <f t="shared" si="429"/>
        <v>0.18150000000000002</v>
      </c>
      <c r="ZY15" s="90">
        <v>0.38175323599898991</v>
      </c>
      <c r="ZZ15" s="90">
        <f t="shared" si="430"/>
        <v>0.73</v>
      </c>
      <c r="AAA15" s="90">
        <f t="shared" si="431"/>
        <v>18.150000000000002</v>
      </c>
      <c r="AAB15" s="90">
        <f t="shared" si="432"/>
        <v>18.150000000000002</v>
      </c>
      <c r="AAC15" s="90">
        <f t="shared" si="433"/>
        <v>0</v>
      </c>
      <c r="AAD15" s="90"/>
      <c r="AAE15" s="90">
        <f t="shared" si="434"/>
        <v>18.150000000000002</v>
      </c>
      <c r="AAF15" s="90">
        <v>15.41</v>
      </c>
      <c r="AAG15" s="90">
        <f t="shared" si="435"/>
        <v>117.78066190785206</v>
      </c>
      <c r="AAH15" s="90">
        <f t="shared" si="436"/>
        <v>0</v>
      </c>
      <c r="AAI15" s="90">
        <v>0</v>
      </c>
      <c r="AAJ15" s="90"/>
      <c r="AAK15" s="1">
        <v>16.23</v>
      </c>
      <c r="AAL15" s="104">
        <f t="shared" si="437"/>
        <v>1.9200000000000017</v>
      </c>
      <c r="AAM15" s="103" t="s">
        <v>459</v>
      </c>
      <c r="AAN15" s="105">
        <v>6.91</v>
      </c>
      <c r="AAO15" s="90">
        <f t="shared" si="438"/>
        <v>7.7799999999999994</v>
      </c>
      <c r="AAP15" s="90">
        <v>4.21</v>
      </c>
      <c r="AAQ15" s="90">
        <f t="shared" si="439"/>
        <v>4.18</v>
      </c>
      <c r="AAR15" s="90">
        <v>0.56000000000000005</v>
      </c>
      <c r="AAS15" s="90">
        <f t="shared" si="440"/>
        <v>0.85</v>
      </c>
      <c r="AAT15" s="90">
        <f t="shared" si="441"/>
        <v>151.78571428571425</v>
      </c>
      <c r="AAU15" s="90">
        <v>2.14</v>
      </c>
      <c r="AAV15" s="90">
        <f t="shared" si="442"/>
        <v>2.29</v>
      </c>
      <c r="AAW15" s="90">
        <f t="shared" si="443"/>
        <v>107.00934579439252</v>
      </c>
      <c r="AAX15" s="90">
        <f t="shared" si="444"/>
        <v>0.46</v>
      </c>
      <c r="AAY15" s="90">
        <f t="shared" si="445"/>
        <v>0</v>
      </c>
      <c r="AAZ15" s="90">
        <f t="shared" si="446"/>
        <v>0</v>
      </c>
      <c r="ABA15" s="90">
        <f t="shared" si="447"/>
        <v>0</v>
      </c>
      <c r="ABB15" s="90">
        <f t="shared" si="448"/>
        <v>0</v>
      </c>
      <c r="ABC15" s="90">
        <v>0</v>
      </c>
      <c r="ABD15" s="90">
        <f t="shared" si="449"/>
        <v>0</v>
      </c>
      <c r="ABE15" s="90"/>
      <c r="ABF15" s="90">
        <v>0</v>
      </c>
      <c r="ABG15" s="90">
        <f t="shared" si="450"/>
        <v>0</v>
      </c>
      <c r="ABH15" s="90"/>
      <c r="ABI15" s="90">
        <f t="shared" si="451"/>
        <v>0</v>
      </c>
      <c r="ABJ15" s="90">
        <f t="shared" si="452"/>
        <v>0</v>
      </c>
      <c r="ABK15" s="90">
        <v>0</v>
      </c>
      <c r="ABL15" s="90">
        <f t="shared" si="453"/>
        <v>0</v>
      </c>
      <c r="ABM15" s="90">
        <f t="shared" si="454"/>
        <v>0</v>
      </c>
      <c r="ABN15" s="90">
        <f t="shared" si="455"/>
        <v>0.02</v>
      </c>
      <c r="ABO15" s="90">
        <v>3.91</v>
      </c>
      <c r="ABP15" s="90">
        <f t="shared" si="456"/>
        <v>4.1100000000000003</v>
      </c>
      <c r="ABQ15" s="90">
        <f t="shared" si="457"/>
        <v>105.1150895140665</v>
      </c>
      <c r="ABR15" s="90">
        <f t="shared" si="458"/>
        <v>8.57</v>
      </c>
      <c r="ABS15" s="90">
        <f t="shared" si="459"/>
        <v>6.63</v>
      </c>
      <c r="ABT15" s="90">
        <v>4.78</v>
      </c>
      <c r="ABU15" s="90">
        <f t="shared" si="460"/>
        <v>6.28</v>
      </c>
      <c r="ABV15" s="90">
        <f t="shared" si="461"/>
        <v>131.38075313807531</v>
      </c>
      <c r="ABW15" s="90">
        <f t="shared" si="462"/>
        <v>0.01</v>
      </c>
      <c r="ABX15" s="90">
        <f t="shared" si="463"/>
        <v>6.29</v>
      </c>
      <c r="ABY15" s="97">
        <v>227</v>
      </c>
      <c r="ABZ15" s="97">
        <v>230.38</v>
      </c>
      <c r="ACA15" s="90">
        <f t="shared" si="464"/>
        <v>0.54</v>
      </c>
      <c r="ACB15" s="90">
        <f t="shared" si="465"/>
        <v>0.19</v>
      </c>
      <c r="ACC15" s="90">
        <v>0.11989898989898991</v>
      </c>
      <c r="ACD15" s="90">
        <f t="shared" si="466"/>
        <v>0.18450000000000003</v>
      </c>
      <c r="ACE15" s="90">
        <v>0.38175323599898991</v>
      </c>
      <c r="ACF15" s="90">
        <v>0.63</v>
      </c>
      <c r="ACG15" s="90">
        <f t="shared" si="467"/>
        <v>0.73</v>
      </c>
      <c r="ACH15" s="90">
        <f t="shared" si="468"/>
        <v>115.87301587301586</v>
      </c>
      <c r="ACI15" s="90">
        <f t="shared" si="469"/>
        <v>18.900000000000002</v>
      </c>
      <c r="ACJ15" s="90">
        <f t="shared" si="470"/>
        <v>18.450000000000003</v>
      </c>
      <c r="ACK15" s="90">
        <f t="shared" si="471"/>
        <v>-0.44999999999999929</v>
      </c>
      <c r="ACL15" s="90"/>
      <c r="ACM15" s="90">
        <f t="shared" si="472"/>
        <v>18.900000000000002</v>
      </c>
      <c r="ACN15" s="90">
        <f t="shared" si="473"/>
        <v>0</v>
      </c>
      <c r="ACO15" s="90">
        <f t="shared" si="474"/>
        <v>18.900000000000002</v>
      </c>
      <c r="ACP15" s="90">
        <v>16.23</v>
      </c>
      <c r="ACQ15" s="90">
        <f t="shared" si="475"/>
        <v>116.45101663585953</v>
      </c>
      <c r="ACR15" s="90">
        <f t="shared" si="476"/>
        <v>0</v>
      </c>
      <c r="ACS15" s="90">
        <v>0</v>
      </c>
      <c r="ACT15" s="90"/>
      <c r="ACU15" s="90">
        <f t="shared" si="477"/>
        <v>17.057729999999999</v>
      </c>
      <c r="ACV15" s="90">
        <f t="shared" si="478"/>
        <v>-1.8422700000000027</v>
      </c>
      <c r="ACX15" s="106" t="s">
        <v>460</v>
      </c>
      <c r="ACY15" s="107">
        <v>30000</v>
      </c>
      <c r="ACZ15" s="107">
        <f>30000+80000</f>
        <v>110000</v>
      </c>
      <c r="ADB15" s="90">
        <f t="shared" si="479"/>
        <v>4.1100000000000003</v>
      </c>
      <c r="ADC15" s="90">
        <f t="shared" si="480"/>
        <v>7.78</v>
      </c>
      <c r="ADD15" s="90">
        <f t="shared" si="481"/>
        <v>4.18</v>
      </c>
      <c r="ADE15" s="90">
        <f t="shared" ref="ADE15:ADE57" si="517">ADF15+ADG15+ADH15+ADI15</f>
        <v>1.31</v>
      </c>
      <c r="ADF15" s="90">
        <f t="shared" si="483"/>
        <v>0.85</v>
      </c>
      <c r="ADG15" s="90">
        <f t="shared" si="484"/>
        <v>0.46</v>
      </c>
      <c r="ADH15" s="90">
        <f t="shared" si="484"/>
        <v>0</v>
      </c>
      <c r="ADI15" s="90">
        <f t="shared" si="484"/>
        <v>0</v>
      </c>
      <c r="ADJ15" s="90">
        <f t="shared" si="485"/>
        <v>2.29</v>
      </c>
      <c r="ADK15" s="90">
        <f t="shared" si="486"/>
        <v>0</v>
      </c>
      <c r="ADL15" s="90">
        <f t="shared" si="487"/>
        <v>0</v>
      </c>
      <c r="ADM15" s="90">
        <f t="shared" si="488"/>
        <v>0</v>
      </c>
      <c r="ADN15" s="90">
        <f t="shared" si="488"/>
        <v>0</v>
      </c>
      <c r="ADO15" s="90">
        <f t="shared" si="489"/>
        <v>2.29</v>
      </c>
      <c r="ADP15" s="90">
        <f t="shared" si="490"/>
        <v>6.28</v>
      </c>
      <c r="ADQ15" s="90">
        <f t="shared" si="491"/>
        <v>0.73</v>
      </c>
      <c r="ADR15" s="90">
        <f t="shared" si="492"/>
        <v>18.900000000000002</v>
      </c>
      <c r="ADU15" s="90">
        <f t="shared" si="493"/>
        <v>1.1499999999999999</v>
      </c>
      <c r="ADV15" s="90">
        <f t="shared" si="494"/>
        <v>0.85</v>
      </c>
      <c r="ADW15" s="90">
        <f t="shared" si="495"/>
        <v>2.29</v>
      </c>
      <c r="ADX15" s="90">
        <f t="shared" si="496"/>
        <v>4.1100000000000003</v>
      </c>
      <c r="ADY15" s="90">
        <f t="shared" si="497"/>
        <v>10.040000000000001</v>
      </c>
      <c r="ADZ15" s="90">
        <f t="shared" si="498"/>
        <v>0</v>
      </c>
      <c r="AEA15" s="90">
        <f t="shared" si="499"/>
        <v>18.900000000000002</v>
      </c>
      <c r="AEB15" s="90">
        <f t="shared" si="500"/>
        <v>0</v>
      </c>
      <c r="AEC15" s="104">
        <f t="shared" si="501"/>
        <v>18.440000000000001</v>
      </c>
      <c r="AED15" s="104">
        <f t="shared" si="502"/>
        <v>0.46000000000000085</v>
      </c>
      <c r="AEG15" s="1">
        <v>6.91</v>
      </c>
      <c r="AEH15" s="1">
        <v>4.21</v>
      </c>
      <c r="AEI15" s="1">
        <v>0.56000000000000005</v>
      </c>
      <c r="AEJ15" s="1">
        <v>2.14</v>
      </c>
      <c r="AEK15" s="1">
        <v>0</v>
      </c>
      <c r="AEL15" s="1">
        <v>0</v>
      </c>
      <c r="AEM15" s="1">
        <v>0</v>
      </c>
      <c r="AEN15" s="1">
        <v>0</v>
      </c>
      <c r="AEO15" s="1">
        <v>0</v>
      </c>
      <c r="AEP15" s="1">
        <v>0</v>
      </c>
      <c r="AEQ15" s="1">
        <v>0</v>
      </c>
      <c r="AER15" s="1">
        <v>0</v>
      </c>
      <c r="AES15" s="1">
        <v>0</v>
      </c>
      <c r="AET15" s="1">
        <v>0</v>
      </c>
      <c r="AEU15" s="1">
        <v>0</v>
      </c>
      <c r="AEV15" s="1">
        <v>0.02</v>
      </c>
      <c r="AEW15" s="1">
        <v>3.91</v>
      </c>
      <c r="AEX15" s="1">
        <v>6.92</v>
      </c>
      <c r="AEY15" s="1">
        <v>6.63</v>
      </c>
      <c r="AEZ15" s="1">
        <v>4.78</v>
      </c>
      <c r="AFA15" s="1">
        <v>0.01</v>
      </c>
      <c r="AFB15" s="1">
        <v>4.79</v>
      </c>
      <c r="AFC15" s="1">
        <v>227</v>
      </c>
      <c r="AFD15" s="1">
        <v>230.38</v>
      </c>
      <c r="AFE15" s="1">
        <v>0.47</v>
      </c>
      <c r="AFF15" s="1">
        <v>0.16</v>
      </c>
      <c r="AFG15" s="1">
        <v>0.11989898989898991</v>
      </c>
      <c r="AFH15" s="1">
        <v>0.16240000000000002</v>
      </c>
      <c r="AFI15" s="1">
        <v>0.38175323599898991</v>
      </c>
      <c r="AFJ15" s="1">
        <v>0.63</v>
      </c>
      <c r="AFK15" s="1">
        <v>16.23</v>
      </c>
      <c r="AFL15" s="1">
        <v>16.240000000000002</v>
      </c>
      <c r="AFM15" s="1">
        <v>1.0000000000001563E-2</v>
      </c>
      <c r="AFO15" s="1">
        <v>16.23</v>
      </c>
      <c r="AFP15" s="1">
        <v>0</v>
      </c>
      <c r="AFQ15" s="1">
        <v>16.23</v>
      </c>
      <c r="AFX15" s="1">
        <v>17.07</v>
      </c>
    </row>
    <row r="16" spans="1:856" s="1" customFormat="1" ht="63.75" customHeight="1">
      <c r="A16" s="88">
        <v>8</v>
      </c>
      <c r="B16" s="20"/>
      <c r="C16" s="89" t="s">
        <v>461</v>
      </c>
      <c r="D16" s="20"/>
      <c r="E16" s="20" t="s">
        <v>437</v>
      </c>
      <c r="F16" s="20" t="s">
        <v>438</v>
      </c>
      <c r="G16" s="20">
        <v>0.8</v>
      </c>
      <c r="H16" s="20">
        <v>570.4</v>
      </c>
      <c r="I16" s="20">
        <f>570.4+0.2</f>
        <v>570.6</v>
      </c>
      <c r="J16" s="20">
        <f t="shared" si="0"/>
        <v>456.48</v>
      </c>
      <c r="K16" s="20">
        <v>13</v>
      </c>
      <c r="L16" s="20"/>
      <c r="M16" s="20"/>
      <c r="N16" s="20"/>
      <c r="O16" s="90">
        <f t="shared" si="1"/>
        <v>0</v>
      </c>
      <c r="P16" s="20"/>
      <c r="Q16" s="20"/>
      <c r="R16" s="90">
        <f t="shared" si="2"/>
        <v>0</v>
      </c>
      <c r="S16" s="20">
        <v>58</v>
      </c>
      <c r="T16" s="20">
        <v>2.6</v>
      </c>
      <c r="U16" s="20">
        <v>3.13</v>
      </c>
      <c r="V16" s="91">
        <f t="shared" si="3"/>
        <v>472</v>
      </c>
      <c r="W16" s="20">
        <v>2.1000000000000001E-2</v>
      </c>
      <c r="X16" s="20">
        <f t="shared" si="4"/>
        <v>33.42</v>
      </c>
      <c r="Y16" s="91">
        <f t="shared" si="5"/>
        <v>40.71</v>
      </c>
      <c r="Z16" s="20"/>
      <c r="AA16" s="20"/>
      <c r="AB16" s="20"/>
      <c r="AC16" s="91">
        <f t="shared" si="6"/>
        <v>512.71</v>
      </c>
      <c r="AD16" s="90">
        <f t="shared" si="7"/>
        <v>0.9</v>
      </c>
      <c r="AE16" s="92">
        <f t="shared" si="8"/>
        <v>6152.52</v>
      </c>
      <c r="AF16" s="20">
        <v>38</v>
      </c>
      <c r="AG16" s="20">
        <v>38</v>
      </c>
      <c r="AH16" s="20">
        <v>38</v>
      </c>
      <c r="AI16" s="20">
        <v>37</v>
      </c>
      <c r="AJ16" s="20">
        <v>1.6</v>
      </c>
      <c r="AK16" s="90">
        <f t="shared" si="9"/>
        <v>5.07</v>
      </c>
      <c r="AL16" s="90">
        <v>391.01</v>
      </c>
      <c r="AM16" s="90">
        <f t="shared" si="10"/>
        <v>1982.42</v>
      </c>
      <c r="AN16" s="20">
        <v>42</v>
      </c>
      <c r="AO16" s="20">
        <v>42</v>
      </c>
      <c r="AP16" s="20">
        <v>38</v>
      </c>
      <c r="AQ16" s="20">
        <v>42</v>
      </c>
      <c r="AR16" s="20">
        <v>42</v>
      </c>
      <c r="AS16" s="20">
        <v>42</v>
      </c>
      <c r="AT16" s="20">
        <f t="shared" si="11"/>
        <v>0</v>
      </c>
      <c r="AU16" s="20">
        <v>1.6</v>
      </c>
      <c r="AV16" s="90">
        <f t="shared" si="12"/>
        <v>5.07</v>
      </c>
      <c r="AW16" s="90">
        <f>ROUND((187.84*6+189.92*6)/12,2)</f>
        <v>188.88</v>
      </c>
      <c r="AX16" s="90">
        <v>1057.73</v>
      </c>
      <c r="AY16" s="90">
        <f t="shared" si="14"/>
        <v>1.85</v>
      </c>
      <c r="AZ16" s="90">
        <f t="shared" si="15"/>
        <v>1981.12</v>
      </c>
      <c r="BA16" s="90">
        <f t="shared" si="16"/>
        <v>-923.38999999999987</v>
      </c>
      <c r="BB16" s="90">
        <v>1057.73</v>
      </c>
      <c r="BC16" s="90">
        <v>1.85</v>
      </c>
      <c r="BD16" s="92">
        <f t="shared" si="17"/>
        <v>12692.76</v>
      </c>
      <c r="BE16" s="90"/>
      <c r="BF16" s="90">
        <f t="shared" si="18"/>
        <v>0</v>
      </c>
      <c r="BG16" s="90">
        <v>391.01</v>
      </c>
      <c r="BH16" s="90">
        <f t="shared" si="19"/>
        <v>1982.42</v>
      </c>
      <c r="BI16" s="90">
        <f t="shared" si="20"/>
        <v>3.47</v>
      </c>
      <c r="BJ16" s="90">
        <f t="shared" si="21"/>
        <v>187.56756756756755</v>
      </c>
      <c r="BK16" s="90">
        <f t="shared" si="22"/>
        <v>1982.42</v>
      </c>
      <c r="BL16" s="90">
        <f t="shared" si="23"/>
        <v>3.47</v>
      </c>
      <c r="BM16" s="90"/>
      <c r="BN16" s="90">
        <f t="shared" si="24"/>
        <v>0</v>
      </c>
      <c r="BO16" s="90">
        <f t="shared" si="25"/>
        <v>1982.42</v>
      </c>
      <c r="BP16" s="90">
        <f t="shared" si="26"/>
        <v>3.474272695408342</v>
      </c>
      <c r="BQ16" s="90"/>
      <c r="BR16" s="90">
        <f t="shared" si="27"/>
        <v>0</v>
      </c>
      <c r="BS16" s="90">
        <f t="shared" si="28"/>
        <v>1982.42</v>
      </c>
      <c r="BT16" s="90">
        <f t="shared" si="29"/>
        <v>3.474272695408342</v>
      </c>
      <c r="BU16" s="90"/>
      <c r="BV16" s="93">
        <v>1.4356370000000001</v>
      </c>
      <c r="BW16" s="90">
        <f t="shared" si="30"/>
        <v>819.17447220000008</v>
      </c>
      <c r="BX16" s="90">
        <f t="shared" si="31"/>
        <v>868.32494053200014</v>
      </c>
      <c r="BY16" s="90"/>
      <c r="BZ16" s="90"/>
      <c r="CA16" s="90">
        <v>0.2651</v>
      </c>
      <c r="CB16" s="90">
        <f>$I16*CA16</f>
        <v>151.26606000000001</v>
      </c>
      <c r="CC16" s="90">
        <v>0.71072749999999996</v>
      </c>
      <c r="CD16" s="90">
        <f t="shared" si="33"/>
        <v>107.50894865865</v>
      </c>
      <c r="CE16" s="90">
        <f t="shared" si="34"/>
        <v>162.56444769460418</v>
      </c>
      <c r="CF16" s="90">
        <v>158.70193276867795</v>
      </c>
      <c r="CG16" s="90">
        <v>158.70193276867795</v>
      </c>
      <c r="CH16" s="90">
        <f t="shared" si="35"/>
        <v>166.32</v>
      </c>
      <c r="CI16" s="90">
        <f t="shared" si="503"/>
        <v>174.55592492965383</v>
      </c>
      <c r="CJ16" s="90">
        <f t="shared" si="36"/>
        <v>175.47</v>
      </c>
      <c r="CK16" s="90">
        <f t="shared" si="37"/>
        <v>185.58095257763895</v>
      </c>
      <c r="CL16" s="90">
        <f t="shared" si="38"/>
        <v>185.58095257763895</v>
      </c>
      <c r="CM16" s="94">
        <v>0.14899999999999999</v>
      </c>
      <c r="CN16" s="90">
        <f t="shared" si="39"/>
        <v>122.0569963578</v>
      </c>
      <c r="CO16" s="90">
        <f t="shared" si="40"/>
        <v>129.38041613926802</v>
      </c>
      <c r="CP16" s="90"/>
      <c r="CQ16" s="90">
        <v>3.9539251999999997E-2</v>
      </c>
      <c r="CR16" s="90">
        <f>$I16*CQ16</f>
        <v>22.561097191199998</v>
      </c>
      <c r="CS16" s="90">
        <v>0.71072749999999996</v>
      </c>
      <c r="CT16" s="90">
        <f t="shared" si="42"/>
        <v>16.034792203958595</v>
      </c>
      <c r="CU16" s="90">
        <f t="shared" si="43"/>
        <v>24.24623411406176</v>
      </c>
      <c r="CV16" s="90">
        <v>49.03940862762753</v>
      </c>
      <c r="CW16" s="90">
        <f t="shared" si="44"/>
        <v>51.39</v>
      </c>
      <c r="CX16" s="90">
        <f t="shared" si="504"/>
        <v>53.934758189844338</v>
      </c>
      <c r="CY16" s="90">
        <f t="shared" si="45"/>
        <v>54.22</v>
      </c>
      <c r="CZ16" s="90">
        <f t="shared" si="46"/>
        <v>57.341300823502081</v>
      </c>
      <c r="DA16" s="90">
        <f t="shared" si="47"/>
        <v>57.341300823502081</v>
      </c>
      <c r="DB16" s="93">
        <v>1.4169099999999999</v>
      </c>
      <c r="DC16" s="90">
        <f t="shared" si="48"/>
        <v>808.48884599999997</v>
      </c>
      <c r="DD16" s="90">
        <f t="shared" si="49"/>
        <v>856.99817675999998</v>
      </c>
      <c r="DE16" s="90"/>
      <c r="DF16" s="90"/>
      <c r="DG16" s="90">
        <v>0.16261500000000001</v>
      </c>
      <c r="DH16" s="90">
        <f>$I16*DG16</f>
        <v>92.788119000000009</v>
      </c>
      <c r="DI16" s="90">
        <v>0.71072749999999996</v>
      </c>
      <c r="DJ16" s="90">
        <f t="shared" si="51"/>
        <v>65.947067846572509</v>
      </c>
      <c r="DK16" s="90">
        <f t="shared" si="52"/>
        <v>99.718663379321242</v>
      </c>
      <c r="DL16" s="90">
        <v>78.886549200878619</v>
      </c>
      <c r="DM16" s="90">
        <f t="shared" si="53"/>
        <v>82.67</v>
      </c>
      <c r="DN16" s="90">
        <f t="shared" si="505"/>
        <v>86.763698376229456</v>
      </c>
      <c r="DO16" s="90">
        <f t="shared" si="54"/>
        <v>87.22</v>
      </c>
      <c r="DP16" s="90">
        <f t="shared" si="55"/>
        <v>92.243731058161458</v>
      </c>
      <c r="DQ16" s="90">
        <f t="shared" si="56"/>
        <v>92.243731058161458</v>
      </c>
      <c r="DR16" s="93">
        <v>5.6880149999999997E-2</v>
      </c>
      <c r="DS16" s="90">
        <f t="shared" si="57"/>
        <v>32.455813589999998</v>
      </c>
      <c r="DT16" s="90">
        <f t="shared" si="58"/>
        <v>34.403162405400003</v>
      </c>
      <c r="DU16" s="90"/>
      <c r="DV16" s="90">
        <v>6.1506E-3</v>
      </c>
      <c r="DW16" s="90">
        <f>$I16*DV16</f>
        <v>3.5095323600000001</v>
      </c>
      <c r="DX16" s="90">
        <v>0.71072749999999996</v>
      </c>
      <c r="DY16" s="90">
        <f t="shared" si="60"/>
        <v>2.4943211603919</v>
      </c>
      <c r="DZ16" s="90">
        <f t="shared" si="61"/>
        <v>3.7716668879307149</v>
      </c>
      <c r="EA16" s="90">
        <f t="shared" si="62"/>
        <v>3.95</v>
      </c>
      <c r="EB16" s="90">
        <f t="shared" si="506"/>
        <v>4.1455982652244625</v>
      </c>
      <c r="EC16" s="90">
        <f t="shared" si="63"/>
        <v>4.17</v>
      </c>
      <c r="ED16" s="90">
        <f t="shared" si="64"/>
        <v>4.4074360430596071</v>
      </c>
      <c r="EE16" s="90">
        <f t="shared" si="65"/>
        <v>4.4074360430596071</v>
      </c>
      <c r="EF16" s="94">
        <v>0.85293354333000004</v>
      </c>
      <c r="EG16" s="90">
        <f t="shared" si="66"/>
        <v>389.34710385927843</v>
      </c>
      <c r="EH16" s="90">
        <f t="shared" si="67"/>
        <v>412.70793009083513</v>
      </c>
      <c r="EI16" s="90"/>
      <c r="EJ16" s="90">
        <v>0.58975</v>
      </c>
      <c r="EK16" s="90">
        <f t="shared" si="68"/>
        <v>269.20908000000003</v>
      </c>
      <c r="EL16" s="90">
        <v>0.71072749999999996</v>
      </c>
      <c r="EM16" s="90">
        <f t="shared" si="69"/>
        <v>191.3342964057</v>
      </c>
      <c r="EN16" s="90">
        <f t="shared" si="70"/>
        <v>289.31688578768109</v>
      </c>
      <c r="EO16" s="90">
        <v>282.15471555780368</v>
      </c>
      <c r="EP16" s="90">
        <f t="shared" si="71"/>
        <v>295.7</v>
      </c>
      <c r="EQ16" s="90">
        <f t="shared" si="507"/>
        <v>310.34263469034772</v>
      </c>
      <c r="ER16" s="90">
        <f t="shared" si="72"/>
        <v>311.95999999999998</v>
      </c>
      <c r="ES16" s="90">
        <f t="shared" si="73"/>
        <v>329.94400960322167</v>
      </c>
      <c r="ET16" s="90">
        <f t="shared" si="74"/>
        <v>329.94400960322167</v>
      </c>
      <c r="EU16" s="94">
        <v>0.14899999999999999</v>
      </c>
      <c r="EV16" s="90">
        <f t="shared" si="75"/>
        <v>58.012718475032486</v>
      </c>
      <c r="EW16" s="90">
        <f t="shared" si="76"/>
        <v>61.493481583534439</v>
      </c>
      <c r="EX16" s="90"/>
      <c r="EY16" s="90">
        <v>8.7870000000000004E-2</v>
      </c>
      <c r="EZ16" s="90">
        <f t="shared" si="77"/>
        <v>40.110897600000001</v>
      </c>
      <c r="FA16" s="90">
        <v>0.71072749999999996</v>
      </c>
      <c r="FB16" s="90">
        <f t="shared" si="78"/>
        <v>28.507917974003998</v>
      </c>
      <c r="FC16" s="90">
        <f t="shared" si="79"/>
        <v>43.106866899810996</v>
      </c>
      <c r="FD16" s="90">
        <v>87.246822131532298</v>
      </c>
      <c r="FE16" s="90">
        <f t="shared" si="80"/>
        <v>91.43</v>
      </c>
      <c r="FF16" s="90">
        <f t="shared" si="508"/>
        <v>95.957480858094343</v>
      </c>
      <c r="FG16" s="90">
        <f t="shared" si="81"/>
        <v>96.46</v>
      </c>
      <c r="FH16" s="90">
        <f t="shared" si="82"/>
        <v>102.01819681441516</v>
      </c>
      <c r="FI16" s="90">
        <f t="shared" si="83"/>
        <v>102.01819681441516</v>
      </c>
      <c r="FJ16" s="93">
        <v>0.49981642240000002</v>
      </c>
      <c r="FK16" s="90">
        <f t="shared" si="84"/>
        <v>228.15620049715201</v>
      </c>
      <c r="FL16" s="90">
        <f t="shared" si="85"/>
        <v>241.84557252698116</v>
      </c>
      <c r="FM16" s="90"/>
      <c r="FN16" s="90">
        <v>0.35812500000000003</v>
      </c>
      <c r="FO16" s="90">
        <f t="shared" si="86"/>
        <v>163.47690000000003</v>
      </c>
      <c r="FP16" s="90">
        <v>0.71072749999999996</v>
      </c>
      <c r="FQ16" s="90">
        <f t="shared" si="87"/>
        <v>116.18752844475001</v>
      </c>
      <c r="FR16" s="90">
        <f t="shared" si="88"/>
        <v>175.68734162393099</v>
      </c>
      <c r="FS16" s="90">
        <v>138.49519588769013</v>
      </c>
      <c r="FT16" s="90">
        <f t="shared" si="89"/>
        <v>145.13999999999999</v>
      </c>
      <c r="FU16" s="90">
        <v>138.61101121289008</v>
      </c>
      <c r="FV16" s="90">
        <f t="shared" si="90"/>
        <v>145.26</v>
      </c>
      <c r="FW16" s="90">
        <f t="shared" si="509"/>
        <v>152.4530643054444</v>
      </c>
      <c r="FX16" s="90">
        <f t="shared" si="91"/>
        <v>153.25</v>
      </c>
      <c r="FY16" s="90">
        <f t="shared" si="92"/>
        <v>162.08206572527558</v>
      </c>
      <c r="FZ16" s="90">
        <f t="shared" si="93"/>
        <v>162.08206572527558</v>
      </c>
      <c r="GA16" s="94">
        <v>1.352261642E-2</v>
      </c>
      <c r="GB16" s="90">
        <f t="shared" si="94"/>
        <v>6.1728039434016004</v>
      </c>
      <c r="GC16" s="90">
        <f t="shared" si="95"/>
        <v>6.5431721800056968</v>
      </c>
      <c r="GD16" s="90"/>
      <c r="GE16" s="90">
        <v>1.0749999999999999E-2</v>
      </c>
      <c r="GF16" s="90">
        <f t="shared" si="96"/>
        <v>4.9071600000000002</v>
      </c>
      <c r="GG16" s="90">
        <v>0.71072749999999996</v>
      </c>
      <c r="GH16" s="90">
        <f t="shared" si="97"/>
        <v>3.4876535589</v>
      </c>
      <c r="GI16" s="90">
        <f t="shared" si="98"/>
        <v>5.2736863454303879</v>
      </c>
      <c r="GJ16" s="90">
        <f t="shared" si="99"/>
        <v>5.53</v>
      </c>
      <c r="GK16" s="90">
        <f t="shared" si="510"/>
        <v>5.803837571314248</v>
      </c>
      <c r="GL16" s="90">
        <f t="shared" si="100"/>
        <v>5.83</v>
      </c>
      <c r="GM16" s="90">
        <f t="shared" si="101"/>
        <v>6.1704104602834509</v>
      </c>
      <c r="GN16" s="90">
        <f t="shared" si="102"/>
        <v>6.1704104602834509</v>
      </c>
      <c r="GO16" s="90">
        <v>2419.1999999999998</v>
      </c>
      <c r="GP16" s="90">
        <f t="shared" si="103"/>
        <v>201.6</v>
      </c>
      <c r="GQ16" s="90">
        <f>1587.6+138.6</f>
        <v>1726.1999999999998</v>
      </c>
      <c r="GR16" s="90">
        <f t="shared" si="104"/>
        <v>143.85</v>
      </c>
      <c r="GS16" s="90">
        <f t="shared" si="105"/>
        <v>345.45</v>
      </c>
      <c r="GT16" s="90">
        <f t="shared" si="106"/>
        <v>0.61</v>
      </c>
      <c r="GU16" s="90">
        <v>2302.8000000000002</v>
      </c>
      <c r="GV16" s="90">
        <f>1254+110.2</f>
        <v>1364.2</v>
      </c>
      <c r="GW16" s="90">
        <f t="shared" si="107"/>
        <v>305.58333333333331</v>
      </c>
      <c r="GX16" s="90">
        <f t="shared" si="108"/>
        <v>0.54</v>
      </c>
      <c r="GY16" s="90">
        <v>4115.3999999999996</v>
      </c>
      <c r="GZ16" s="90">
        <f>1333.8+117.8</f>
        <v>1451.6</v>
      </c>
      <c r="HA16" s="90">
        <f t="shared" si="109"/>
        <v>463.91666666666669</v>
      </c>
      <c r="HB16" s="90">
        <f t="shared" si="110"/>
        <v>0.81</v>
      </c>
      <c r="HC16" s="90">
        <v>4115.3999999999996</v>
      </c>
      <c r="HD16" s="90">
        <f>1333.8+117.8</f>
        <v>1451.6</v>
      </c>
      <c r="HE16" s="90">
        <f t="shared" si="111"/>
        <v>463.91666666666669</v>
      </c>
      <c r="HF16" s="90">
        <f t="shared" si="112"/>
        <v>0.81</v>
      </c>
      <c r="HG16" s="90"/>
      <c r="HH16" s="90"/>
      <c r="HI16" s="90">
        <v>0.96</v>
      </c>
      <c r="HJ16" s="90">
        <f t="shared" si="113"/>
        <v>547.77599999999995</v>
      </c>
      <c r="HK16" s="90">
        <f t="shared" si="114"/>
        <v>1.0060813179109709</v>
      </c>
      <c r="HL16" s="90">
        <f t="shared" si="115"/>
        <v>574.07000000000005</v>
      </c>
      <c r="HM16" s="90">
        <v>1.07</v>
      </c>
      <c r="HN16" s="90">
        <f t="shared" si="116"/>
        <v>610.54200000000003</v>
      </c>
      <c r="HO16" s="90">
        <v>1.1499999999999999</v>
      </c>
      <c r="HP16" s="90">
        <f t="shared" si="117"/>
        <v>656.19</v>
      </c>
      <c r="HQ16" s="90">
        <v>1.1499999999999999</v>
      </c>
      <c r="HR16" s="90">
        <f t="shared" si="118"/>
        <v>656.19</v>
      </c>
      <c r="HS16" s="90">
        <v>0.31919999999999998</v>
      </c>
      <c r="HT16" s="90">
        <f t="shared" si="119"/>
        <v>182.13551999999999</v>
      </c>
      <c r="HU16" s="90" t="e">
        <f>HT16*#REF!</f>
        <v>#REF!</v>
      </c>
      <c r="HV16" s="90">
        <v>2.83</v>
      </c>
      <c r="HW16" s="90">
        <v>3.1</v>
      </c>
      <c r="HX16" s="90">
        <f t="shared" si="120"/>
        <v>1768.8600000000001</v>
      </c>
      <c r="HY16" s="90">
        <v>1.06</v>
      </c>
      <c r="HZ16" s="90">
        <f t="shared" si="121"/>
        <v>1874.9916000000003</v>
      </c>
      <c r="IA16" s="90">
        <f t="shared" si="122"/>
        <v>3.29</v>
      </c>
      <c r="IB16" s="90">
        <f t="shared" si="123"/>
        <v>3.45</v>
      </c>
      <c r="IC16" s="90">
        <f t="shared" si="124"/>
        <v>1968.5700000000002</v>
      </c>
      <c r="ID16" s="90">
        <f t="shared" si="125"/>
        <v>3.64</v>
      </c>
      <c r="IE16" s="90">
        <f t="shared" si="126"/>
        <v>2076.98</v>
      </c>
      <c r="IF16" s="90">
        <f t="shared" si="127"/>
        <v>3.64</v>
      </c>
      <c r="IG16" s="92">
        <f t="shared" si="128"/>
        <v>24923.760000000002</v>
      </c>
      <c r="IH16" s="90">
        <v>3.91</v>
      </c>
      <c r="II16" s="90">
        <f t="shared" si="129"/>
        <v>4.1100000000000003</v>
      </c>
      <c r="IJ16" s="90">
        <f t="shared" si="130"/>
        <v>2345.17</v>
      </c>
      <c r="IK16" s="90">
        <f t="shared" si="131"/>
        <v>4.1100000000000003</v>
      </c>
      <c r="IL16" s="90">
        <f t="shared" si="132"/>
        <v>2345.17</v>
      </c>
      <c r="IM16" s="90">
        <f t="shared" si="133"/>
        <v>4.1100000000000003</v>
      </c>
      <c r="IN16" s="90">
        <f t="shared" si="134"/>
        <v>2345.17</v>
      </c>
      <c r="IO16" s="90">
        <f t="shared" si="135"/>
        <v>4.1100000000000003</v>
      </c>
      <c r="IP16" s="93">
        <v>0.37052404126999999</v>
      </c>
      <c r="IQ16" s="90">
        <f t="shared" si="136"/>
        <v>169.1368143589296</v>
      </c>
      <c r="IR16" s="90">
        <f t="shared" si="137"/>
        <v>179.28502322046538</v>
      </c>
      <c r="IS16" s="90">
        <v>108693.96</v>
      </c>
      <c r="IT16" s="90">
        <v>3053.33</v>
      </c>
      <c r="IU16" s="94"/>
      <c r="IV16" s="94"/>
      <c r="IW16" s="94">
        <v>1.6976249999999999</v>
      </c>
      <c r="IX16" s="90">
        <f t="shared" si="138"/>
        <v>774.93186000000003</v>
      </c>
      <c r="IY16" s="93">
        <v>0.56339614052999998</v>
      </c>
      <c r="IZ16" s="90">
        <f t="shared" si="139"/>
        <v>321.47383778641802</v>
      </c>
      <c r="JA16" s="90">
        <f t="shared" si="140"/>
        <v>336.9</v>
      </c>
      <c r="JB16" s="90">
        <f t="shared" si="511"/>
        <v>353.5827988744611</v>
      </c>
      <c r="JC16" s="90">
        <f t="shared" si="141"/>
        <v>355.43</v>
      </c>
      <c r="JD16" s="90">
        <f t="shared" si="142"/>
        <v>375.9152412422232</v>
      </c>
      <c r="JE16" s="90">
        <f t="shared" si="143"/>
        <v>375.9152412422232</v>
      </c>
      <c r="JF16" s="93">
        <v>4.2278943710000003E-2</v>
      </c>
      <c r="JG16" s="90">
        <f t="shared" si="144"/>
        <v>19.299492224740803</v>
      </c>
      <c r="JH16" s="90">
        <f t="shared" si="145"/>
        <v>20.457461758225254</v>
      </c>
      <c r="JI16" s="20">
        <v>462.98</v>
      </c>
      <c r="JJ16" s="20"/>
      <c r="JK16" s="20">
        <v>6.0624999999999998E-2</v>
      </c>
      <c r="JL16" s="90">
        <f t="shared" si="146"/>
        <v>27.674099999999999</v>
      </c>
      <c r="JM16" s="93">
        <v>6.7347080040000007E-2</v>
      </c>
      <c r="JN16" s="90">
        <f t="shared" si="147"/>
        <v>38.428243870824005</v>
      </c>
      <c r="JO16" s="90">
        <f t="shared" si="148"/>
        <v>40.270000000000003</v>
      </c>
      <c r="JP16" s="90">
        <f t="shared" si="512"/>
        <v>42.264111934326358</v>
      </c>
      <c r="JQ16" s="90">
        <f t="shared" si="149"/>
        <v>42.48</v>
      </c>
      <c r="JR16" s="90">
        <f t="shared" si="150"/>
        <v>44.933531507344405</v>
      </c>
      <c r="JS16" s="90">
        <f t="shared" si="151"/>
        <v>44.933531507344405</v>
      </c>
      <c r="JT16" s="93">
        <v>7.3220517000000002E-3</v>
      </c>
      <c r="JU16" s="90">
        <f t="shared" si="152"/>
        <v>3.3423701600160003</v>
      </c>
      <c r="JV16" s="90">
        <f t="shared" si="153"/>
        <v>3.5</v>
      </c>
      <c r="JW16" s="90">
        <f t="shared" si="513"/>
        <v>3.6733149185533209</v>
      </c>
      <c r="JX16" s="90">
        <f t="shared" si="154"/>
        <v>3.69</v>
      </c>
      <c r="JY16" s="90">
        <f t="shared" si="155"/>
        <v>3.9053230761287656</v>
      </c>
      <c r="JZ16" s="90">
        <f t="shared" si="156"/>
        <v>3.9053230761287656</v>
      </c>
      <c r="KA16" s="90">
        <v>8.3090999999999998E-3</v>
      </c>
      <c r="KB16" s="90">
        <f t="shared" si="157"/>
        <v>3.7929379679999999</v>
      </c>
      <c r="KC16" s="90" t="e">
        <f>KB16*#REF!</f>
        <v>#REF!</v>
      </c>
      <c r="KD16" s="90">
        <v>34406.519999999997</v>
      </c>
      <c r="KE16" s="90">
        <v>40292.97</v>
      </c>
      <c r="KF16" s="90"/>
      <c r="KG16" s="90">
        <f t="shared" si="158"/>
        <v>668.2212755605625</v>
      </c>
      <c r="KH16" s="90" t="e">
        <f>KG16/(BW16+#REF!)*(CB16+#REF!)</f>
        <v>#REF!</v>
      </c>
      <c r="KI16" s="90">
        <v>0.8</v>
      </c>
      <c r="KJ16" s="94"/>
      <c r="KK16" s="90">
        <f t="shared" si="159"/>
        <v>0</v>
      </c>
      <c r="KL16" s="93">
        <v>1.2690177</v>
      </c>
      <c r="KM16" s="90">
        <f t="shared" si="160"/>
        <v>724.10149962000003</v>
      </c>
      <c r="KN16" s="90">
        <f t="shared" si="161"/>
        <v>767.54758959720004</v>
      </c>
      <c r="KO16" s="90" t="e">
        <f>BW16+CN16+DC16+DS16+EG16+EV16+FK16+GB16+#REF!+#REF!+HJ16+HX16+IQ16+JG16+JU16+KK16+KM16</f>
        <v>#REF!</v>
      </c>
      <c r="KP16" s="90"/>
      <c r="KQ16" s="90">
        <v>0.50815001599999998</v>
      </c>
      <c r="KR16" s="90">
        <f t="shared" si="514"/>
        <v>289.95039912959999</v>
      </c>
      <c r="KS16" s="90">
        <v>0.71072749999999996</v>
      </c>
      <c r="KT16" s="90">
        <f t="shared" si="163"/>
        <v>206.07572229738275</v>
      </c>
      <c r="KU16" s="90">
        <f t="shared" si="164"/>
        <v>311.60741869877126</v>
      </c>
      <c r="KV16" s="90">
        <f t="shared" si="165"/>
        <v>326.56</v>
      </c>
      <c r="KW16" s="90">
        <f t="shared" si="515"/>
        <v>342.73077708650646</v>
      </c>
      <c r="KX16" s="90">
        <f t="shared" si="166"/>
        <v>344.52</v>
      </c>
      <c r="KY16" s="90">
        <f t="shared" si="167"/>
        <v>364.37780106874567</v>
      </c>
      <c r="KZ16" s="90">
        <f t="shared" si="168"/>
        <v>364.37780106874567</v>
      </c>
      <c r="LA16" s="90">
        <f t="shared" si="169"/>
        <v>2236.75</v>
      </c>
      <c r="LB16" s="90">
        <f t="shared" si="170"/>
        <v>3.92</v>
      </c>
      <c r="LC16" s="92">
        <f t="shared" si="171"/>
        <v>26841</v>
      </c>
      <c r="LD16" s="92">
        <v>4.21</v>
      </c>
      <c r="LE16" s="92">
        <v>2402.23</v>
      </c>
      <c r="LF16" s="90">
        <f t="shared" si="172"/>
        <v>4.18</v>
      </c>
      <c r="LG16" s="90">
        <f t="shared" si="173"/>
        <v>2385.11</v>
      </c>
      <c r="LH16" s="90">
        <f t="shared" si="174"/>
        <v>2404.5062499999999</v>
      </c>
      <c r="LI16" s="90">
        <f t="shared" si="175"/>
        <v>4.21</v>
      </c>
      <c r="LJ16" s="90">
        <f t="shared" si="176"/>
        <v>2385.11</v>
      </c>
      <c r="LK16" s="90">
        <f t="shared" si="177"/>
        <v>4.18</v>
      </c>
      <c r="LL16" s="90">
        <f t="shared" si="178"/>
        <v>2385.11</v>
      </c>
      <c r="LM16" s="90">
        <f t="shared" si="179"/>
        <v>4.18</v>
      </c>
      <c r="LN16" s="95">
        <v>0.46</v>
      </c>
      <c r="LO16" s="95">
        <f t="shared" si="180"/>
        <v>262.48</v>
      </c>
      <c r="LP16" s="95"/>
      <c r="LQ16" s="95">
        <f t="shared" si="181"/>
        <v>0</v>
      </c>
      <c r="LR16" s="90"/>
      <c r="LS16" s="90"/>
      <c r="LT16" s="90">
        <f t="shared" si="182"/>
        <v>0</v>
      </c>
      <c r="LU16" s="90"/>
      <c r="LV16" s="90">
        <f t="shared" si="183"/>
        <v>0</v>
      </c>
      <c r="LW16" s="90">
        <f t="shared" si="184"/>
        <v>0</v>
      </c>
      <c r="LX16" s="90"/>
      <c r="LY16" s="90"/>
      <c r="LZ16" s="90">
        <f t="shared" si="185"/>
        <v>0</v>
      </c>
      <c r="MA16" s="90"/>
      <c r="MB16" s="90">
        <f t="shared" si="186"/>
        <v>0</v>
      </c>
      <c r="MC16" s="90">
        <f t="shared" si="187"/>
        <v>0</v>
      </c>
      <c r="MD16" s="90"/>
      <c r="ME16" s="90"/>
      <c r="MF16" s="90">
        <f t="shared" si="188"/>
        <v>0</v>
      </c>
      <c r="MG16" s="90"/>
      <c r="MH16" s="90">
        <f t="shared" si="189"/>
        <v>0</v>
      </c>
      <c r="MI16" s="90">
        <f t="shared" si="190"/>
        <v>0</v>
      </c>
      <c r="MJ16" s="90"/>
      <c r="MK16" s="90"/>
      <c r="ML16" s="90">
        <f t="shared" si="191"/>
        <v>0</v>
      </c>
      <c r="MM16" s="90"/>
      <c r="MN16" s="90">
        <f t="shared" si="192"/>
        <v>0</v>
      </c>
      <c r="MO16" s="90">
        <f t="shared" si="193"/>
        <v>0</v>
      </c>
      <c r="MP16" s="90">
        <f t="shared" si="194"/>
        <v>0</v>
      </c>
      <c r="MQ16" s="90">
        <f t="shared" si="195"/>
        <v>0</v>
      </c>
      <c r="MR16" s="90">
        <f t="shared" si="196"/>
        <v>0</v>
      </c>
      <c r="MS16" s="90">
        <f t="shared" si="197"/>
        <v>0</v>
      </c>
      <c r="MT16" s="95"/>
      <c r="MU16" s="95">
        <f t="shared" si="198"/>
        <v>0</v>
      </c>
      <c r="MV16" s="92">
        <f t="shared" si="199"/>
        <v>0</v>
      </c>
      <c r="MW16" s="95"/>
      <c r="MX16" s="95">
        <f t="shared" si="200"/>
        <v>0</v>
      </c>
      <c r="MY16" s="95"/>
      <c r="MZ16" s="95">
        <f t="shared" si="201"/>
        <v>0</v>
      </c>
      <c r="NA16" s="95"/>
      <c r="NB16" s="95">
        <f t="shared" si="202"/>
        <v>0</v>
      </c>
      <c r="NC16" s="92">
        <f t="shared" si="203"/>
        <v>0</v>
      </c>
      <c r="ND16" s="95"/>
      <c r="NE16" s="95">
        <f t="shared" si="204"/>
        <v>0</v>
      </c>
      <c r="NF16" s="95"/>
      <c r="NG16" s="95">
        <f t="shared" si="205"/>
        <v>0</v>
      </c>
      <c r="NH16" s="95"/>
      <c r="NI16" s="95"/>
      <c r="NJ16" s="95">
        <f t="shared" si="206"/>
        <v>0</v>
      </c>
      <c r="NK16" s="92">
        <f t="shared" si="207"/>
        <v>0</v>
      </c>
      <c r="NL16" s="95"/>
      <c r="NM16" s="95">
        <f t="shared" si="208"/>
        <v>0</v>
      </c>
      <c r="NN16" s="95"/>
      <c r="NO16" s="95">
        <f t="shared" si="209"/>
        <v>0</v>
      </c>
      <c r="NP16" s="95"/>
      <c r="NQ16" s="95">
        <f t="shared" si="210"/>
        <v>0</v>
      </c>
      <c r="NR16" s="92">
        <f t="shared" si="211"/>
        <v>0</v>
      </c>
      <c r="NS16" s="95"/>
      <c r="NT16" s="95">
        <f t="shared" si="212"/>
        <v>0</v>
      </c>
      <c r="NU16" s="95"/>
      <c r="NV16" s="95">
        <f t="shared" si="213"/>
        <v>0</v>
      </c>
      <c r="NW16" s="95"/>
      <c r="NX16" s="95">
        <f t="shared" si="214"/>
        <v>0</v>
      </c>
      <c r="NY16" s="92">
        <f t="shared" si="215"/>
        <v>0</v>
      </c>
      <c r="NZ16" s="95"/>
      <c r="OA16" s="95">
        <f t="shared" si="216"/>
        <v>0</v>
      </c>
      <c r="OB16" s="95"/>
      <c r="OC16" s="95">
        <f t="shared" si="217"/>
        <v>0</v>
      </c>
      <c r="OD16" s="90">
        <v>3377.95</v>
      </c>
      <c r="OE16" s="90">
        <f t="shared" si="218"/>
        <v>5.92</v>
      </c>
      <c r="OF16" s="92">
        <f t="shared" si="219"/>
        <v>40535.399999999994</v>
      </c>
      <c r="OG16" s="96">
        <v>1057.73</v>
      </c>
      <c r="OH16" s="96">
        <v>1.85</v>
      </c>
      <c r="OI16" s="90">
        <v>4433.5600000000004</v>
      </c>
      <c r="OJ16" s="90">
        <f t="shared" si="220"/>
        <v>7.77</v>
      </c>
      <c r="OK16" s="90">
        <f t="shared" si="221"/>
        <v>4435.68</v>
      </c>
      <c r="OL16" s="90">
        <f t="shared" si="222"/>
        <v>7.77</v>
      </c>
      <c r="OM16" s="90">
        <f t="shared" si="223"/>
        <v>0</v>
      </c>
      <c r="ON16" s="90">
        <v>3377.95</v>
      </c>
      <c r="OO16" s="90">
        <f t="shared" si="224"/>
        <v>5.92</v>
      </c>
      <c r="OP16" s="90">
        <v>3375.8300000000004</v>
      </c>
      <c r="OQ16" s="90">
        <v>5.92</v>
      </c>
      <c r="OR16" s="90">
        <f t="shared" si="225"/>
        <v>0</v>
      </c>
      <c r="OS16" s="90">
        <f t="shared" si="226"/>
        <v>5.92</v>
      </c>
      <c r="OT16" s="90">
        <v>3377.95</v>
      </c>
      <c r="OU16" s="90">
        <f t="shared" si="227"/>
        <v>5.92</v>
      </c>
      <c r="OV16" s="97">
        <v>2807.35</v>
      </c>
      <c r="OW16" s="90">
        <f t="shared" si="228"/>
        <v>3007.06</v>
      </c>
      <c r="OX16" s="90">
        <f t="shared" si="229"/>
        <v>5.27</v>
      </c>
      <c r="OY16" s="90">
        <f>OU16-1+0.59-0.24</f>
        <v>5.27</v>
      </c>
      <c r="OZ16" s="90"/>
      <c r="PA16" s="90"/>
      <c r="PB16" s="95">
        <f t="shared" si="230"/>
        <v>0</v>
      </c>
      <c r="PC16" s="92">
        <f t="shared" si="231"/>
        <v>0</v>
      </c>
      <c r="PD16" s="90"/>
      <c r="PE16" s="95">
        <f t="shared" si="232"/>
        <v>0</v>
      </c>
      <c r="PF16" s="90">
        <f t="shared" si="233"/>
        <v>9094.86</v>
      </c>
      <c r="PG16" s="90">
        <f t="shared" si="234"/>
        <v>15.94</v>
      </c>
      <c r="PH16" s="90">
        <f t="shared" si="235"/>
        <v>10446.156666666666</v>
      </c>
      <c r="PI16" s="90">
        <f t="shared" si="236"/>
        <v>18.309999999999999</v>
      </c>
      <c r="PJ16" s="90">
        <f t="shared" si="237"/>
        <v>10446.156666666666</v>
      </c>
      <c r="PK16" s="90">
        <f t="shared" si="238"/>
        <v>18.309999999999999</v>
      </c>
      <c r="PL16" s="90"/>
      <c r="PM16" s="90">
        <f t="shared" si="239"/>
        <v>272.85000000000002</v>
      </c>
      <c r="PN16" s="90">
        <f t="shared" si="240"/>
        <v>0.48</v>
      </c>
      <c r="PO16" s="92">
        <f t="shared" si="241"/>
        <v>3274.2000000000003</v>
      </c>
      <c r="PP16" s="90">
        <f t="shared" si="242"/>
        <v>313.38</v>
      </c>
      <c r="PQ16" s="90">
        <f t="shared" si="243"/>
        <v>0.55000000000000004</v>
      </c>
      <c r="PR16" s="90">
        <f t="shared" si="244"/>
        <v>313.38</v>
      </c>
      <c r="PS16" s="90">
        <f t="shared" si="245"/>
        <v>0.55000000000000004</v>
      </c>
      <c r="PT16" s="90">
        <f t="shared" si="246"/>
        <v>9367.7100000000009</v>
      </c>
      <c r="PU16" s="90">
        <f t="shared" si="247"/>
        <v>16.420000000000002</v>
      </c>
      <c r="PV16" s="90">
        <f t="shared" si="248"/>
        <v>10759.536666666665</v>
      </c>
      <c r="PW16" s="90">
        <f t="shared" si="249"/>
        <v>18.86</v>
      </c>
      <c r="PX16" s="90">
        <f t="shared" si="250"/>
        <v>10759.536666666665</v>
      </c>
      <c r="PY16" s="90">
        <f t="shared" si="251"/>
        <v>18.86</v>
      </c>
      <c r="PZ16" s="90">
        <f t="shared" si="252"/>
        <v>94.62</v>
      </c>
      <c r="QA16" s="90">
        <f t="shared" si="253"/>
        <v>0.17</v>
      </c>
      <c r="QB16" s="92">
        <f t="shared" si="254"/>
        <v>1135.44</v>
      </c>
      <c r="QC16" s="90">
        <f t="shared" si="255"/>
        <v>108.68</v>
      </c>
      <c r="QD16" s="90">
        <f t="shared" si="256"/>
        <v>0.19</v>
      </c>
      <c r="QE16" s="90">
        <f t="shared" si="257"/>
        <v>108.68</v>
      </c>
      <c r="QF16" s="90">
        <f t="shared" si="258"/>
        <v>0.19</v>
      </c>
      <c r="QG16" s="90">
        <f t="shared" si="259"/>
        <v>9462.3300000000017</v>
      </c>
      <c r="QH16" s="90">
        <f t="shared" si="260"/>
        <v>16.579999999999998</v>
      </c>
      <c r="QI16" s="92">
        <f t="shared" si="261"/>
        <v>113547.96000000002</v>
      </c>
      <c r="QJ16" s="90">
        <f t="shared" si="262"/>
        <v>359.31077708650645</v>
      </c>
      <c r="QK16" s="98">
        <f t="shared" si="263"/>
        <v>0.21869999999999998</v>
      </c>
      <c r="QL16" s="90">
        <f t="shared" si="264"/>
        <v>124.79021999999999</v>
      </c>
      <c r="QM16" s="90">
        <f t="shared" si="265"/>
        <v>0.14579999999999999</v>
      </c>
      <c r="QN16" s="90">
        <f t="shared" si="266"/>
        <v>83.193479999999994</v>
      </c>
      <c r="QO16" s="90">
        <v>0.21869999999999998</v>
      </c>
      <c r="QP16" s="90">
        <v>0.14579999999999999</v>
      </c>
      <c r="QQ16" s="97">
        <f t="shared" si="267"/>
        <v>207.9837</v>
      </c>
      <c r="QR16" s="97">
        <v>207.9837</v>
      </c>
      <c r="QS16" s="97">
        <f t="shared" si="268"/>
        <v>0</v>
      </c>
      <c r="QT16" s="90"/>
      <c r="QU16" s="90">
        <f t="shared" si="269"/>
        <v>0.14579999999999999</v>
      </c>
      <c r="QV16" s="90">
        <f t="shared" si="270"/>
        <v>83.193479999999994</v>
      </c>
      <c r="QW16" s="90">
        <f t="shared" si="271"/>
        <v>207.9837</v>
      </c>
      <c r="QX16" s="90">
        <f t="shared" si="272"/>
        <v>0.36449999999999999</v>
      </c>
      <c r="QY16" s="90"/>
      <c r="QZ16" s="90"/>
      <c r="RA16" s="90"/>
      <c r="RB16" s="90">
        <v>2123.5500000000002</v>
      </c>
      <c r="RC16" s="97">
        <f t="shared" si="273"/>
        <v>9462.3300000000017</v>
      </c>
      <c r="RD16" s="97">
        <f t="shared" si="274"/>
        <v>16.579999999999998</v>
      </c>
      <c r="RE16" s="90">
        <f t="shared" si="275"/>
        <v>10868.216666666665</v>
      </c>
      <c r="RF16" s="90">
        <f t="shared" si="276"/>
        <v>19.05</v>
      </c>
      <c r="RG16" s="90">
        <f t="shared" si="277"/>
        <v>114.82820976491863</v>
      </c>
      <c r="RH16" s="90">
        <f t="shared" si="278"/>
        <v>10868.216666666665</v>
      </c>
      <c r="RI16" s="90">
        <f t="shared" si="279"/>
        <v>19.05</v>
      </c>
      <c r="RJ16" s="90">
        <v>18.420000000000002</v>
      </c>
      <c r="RK16" s="90">
        <v>0</v>
      </c>
      <c r="RL16" s="90">
        <f t="shared" si="280"/>
        <v>0.62999999999999901</v>
      </c>
      <c r="RM16" s="90">
        <f t="shared" si="281"/>
        <v>105.13528437327444</v>
      </c>
      <c r="RN16" s="90">
        <f t="shared" si="282"/>
        <v>6028.02</v>
      </c>
      <c r="RO16" s="90"/>
      <c r="RP16" s="90"/>
      <c r="RQ16" s="99">
        <v>670</v>
      </c>
      <c r="RR16" s="90">
        <f t="shared" si="283"/>
        <v>6084.38</v>
      </c>
      <c r="RS16" s="90">
        <f t="shared" si="284"/>
        <v>10.663126533473536</v>
      </c>
      <c r="RT16" s="90">
        <f>11.28+3.3</f>
        <v>14.579999999999998</v>
      </c>
      <c r="RU16" s="90">
        <f t="shared" si="285"/>
        <v>8319.348</v>
      </c>
      <c r="RV16" s="90">
        <f t="shared" si="286"/>
        <v>0.62970693495707397</v>
      </c>
      <c r="RW16" s="90">
        <v>10.43</v>
      </c>
      <c r="RX16" s="90">
        <f t="shared" si="287"/>
        <v>10.951499999999999</v>
      </c>
      <c r="RY16" s="90">
        <f t="shared" si="288"/>
        <v>6248.9259000000002</v>
      </c>
      <c r="RZ16" s="90">
        <f t="shared" si="289"/>
        <v>1648.5987003675675</v>
      </c>
      <c r="SA16" s="90">
        <f t="shared" si="290"/>
        <v>737.57824855030947</v>
      </c>
      <c r="SB16" s="90">
        <f t="shared" si="291"/>
        <v>1115.2932114315422</v>
      </c>
      <c r="SC16" s="90">
        <f t="shared" si="292"/>
        <v>2026.3136632488004</v>
      </c>
      <c r="SD16" s="90">
        <f t="shared" si="293"/>
        <v>2026.3136632487999</v>
      </c>
      <c r="SE16" s="90">
        <f t="shared" si="294"/>
        <v>2056.8251565180681</v>
      </c>
      <c r="SF16" s="90">
        <f t="shared" si="295"/>
        <v>2026.1978479236004</v>
      </c>
      <c r="SG16" s="90">
        <f t="shared" si="296"/>
        <v>0.11581532519994653</v>
      </c>
      <c r="SH16" s="90">
        <f t="shared" si="297"/>
        <v>2026.3136632488004</v>
      </c>
      <c r="SI16" s="90">
        <f t="shared" si="298"/>
        <v>3.5511981479999997</v>
      </c>
      <c r="SJ16" s="90">
        <f t="shared" si="299"/>
        <v>3.5509951768727661</v>
      </c>
      <c r="SK16" s="90"/>
      <c r="SL16" s="90"/>
      <c r="SM16" s="90"/>
      <c r="SN16" s="90">
        <f t="shared" si="300"/>
        <v>2169.36</v>
      </c>
      <c r="SO16" s="90" t="e">
        <f>RU16-#REF!-#REF!-HZ16-LT16-LZ16-MF16-ML16-QL16-QN16-SD16</f>
        <v>#REF!</v>
      </c>
      <c r="SP16" s="90">
        <f t="shared" si="301"/>
        <v>2123.5500000000002</v>
      </c>
      <c r="SQ16" s="90">
        <f t="shared" si="302"/>
        <v>2236.75</v>
      </c>
      <c r="SR16" s="90">
        <f t="shared" si="303"/>
        <v>3.7216088328075712</v>
      </c>
      <c r="SS16" s="90">
        <f t="shared" si="304"/>
        <v>3.9199964949176302</v>
      </c>
      <c r="ST16" s="90">
        <f t="shared" si="305"/>
        <v>2245.2420000000002</v>
      </c>
      <c r="SU16" s="90">
        <v>3.7216088328075712</v>
      </c>
      <c r="SV16" s="90">
        <f t="shared" si="306"/>
        <v>3.93</v>
      </c>
      <c r="SW16" s="90">
        <v>3.92</v>
      </c>
      <c r="SX16" s="90">
        <f t="shared" si="307"/>
        <v>2236.75</v>
      </c>
      <c r="SY16" s="90">
        <v>3.7216088328075712</v>
      </c>
      <c r="SZ16" s="90">
        <f t="shared" si="308"/>
        <v>2123.5500000000002</v>
      </c>
      <c r="TA16" s="90">
        <f t="shared" si="309"/>
        <v>0</v>
      </c>
      <c r="TB16" s="90">
        <v>0</v>
      </c>
      <c r="TC16" s="90">
        <f t="shared" si="310"/>
        <v>2817.6643000000004</v>
      </c>
      <c r="TD16" s="90" t="e">
        <f>#REF!+#REF!</f>
        <v>#REF!</v>
      </c>
      <c r="TE16" s="90" t="e">
        <f t="shared" si="311"/>
        <v>#REF!</v>
      </c>
      <c r="TF16" s="90">
        <v>2766.7142999999996</v>
      </c>
      <c r="TG16" s="90">
        <f t="shared" si="312"/>
        <v>33.868811594370143</v>
      </c>
      <c r="TH16" s="95"/>
      <c r="TI16" s="95"/>
      <c r="TJ16" s="95"/>
      <c r="TK16" s="95"/>
      <c r="TL16" s="95"/>
      <c r="TM16" s="95">
        <f t="shared" si="313"/>
        <v>0</v>
      </c>
      <c r="TN16" s="95">
        <f t="shared" si="314"/>
        <v>8319.348</v>
      </c>
      <c r="TO16" s="95">
        <f t="shared" si="315"/>
        <v>33.868811594370143</v>
      </c>
      <c r="TP16" s="95"/>
      <c r="TQ16" s="95">
        <f t="shared" si="316"/>
        <v>14.579999999999998</v>
      </c>
      <c r="TR16" s="95"/>
      <c r="TS16" s="95"/>
      <c r="TT16" s="95"/>
      <c r="TU16" s="95"/>
      <c r="TV16" s="95"/>
      <c r="TW16" s="95"/>
      <c r="TX16" s="95"/>
      <c r="TY16" s="95"/>
      <c r="TZ16" s="95">
        <f t="shared" si="317"/>
        <v>2.5</v>
      </c>
      <c r="UA16" s="95">
        <f t="shared" si="318"/>
        <v>0.64151999999999998</v>
      </c>
      <c r="UB16" s="90">
        <v>0</v>
      </c>
      <c r="UC16" s="90">
        <f t="shared" si="319"/>
        <v>0</v>
      </c>
      <c r="UD16" s="90">
        <f t="shared" si="320"/>
        <v>0</v>
      </c>
      <c r="UE16" s="90">
        <f t="shared" si="321"/>
        <v>0</v>
      </c>
      <c r="UF16" s="90">
        <f t="shared" si="322"/>
        <v>8319.348</v>
      </c>
      <c r="UG16" s="91">
        <f t="shared" si="323"/>
        <v>0</v>
      </c>
      <c r="UH16" s="95">
        <f t="shared" si="324"/>
        <v>33.868811594370143</v>
      </c>
      <c r="UI16" s="95">
        <f t="shared" si="325"/>
        <v>8319.348</v>
      </c>
      <c r="UJ16" s="101">
        <f t="shared" si="326"/>
        <v>0</v>
      </c>
      <c r="UK16" s="101">
        <f t="shared" si="327"/>
        <v>33.868811594370143</v>
      </c>
      <c r="UL16" s="90" t="e">
        <f>(#REF!+#REF!+HZ16+LT16+LZ16+MF16+ML16+QL16+QN16+SN16+TC16+TM16+UC16)/I16</f>
        <v>#REF!</v>
      </c>
      <c r="UN16" s="90" t="e">
        <f>#REF!/I16</f>
        <v>#REF!</v>
      </c>
      <c r="UO16" s="90" t="e">
        <f>#REF!/I16</f>
        <v>#REF!</v>
      </c>
      <c r="UP16" s="90">
        <v>1.1499999999999999</v>
      </c>
      <c r="UQ16" s="90" t="e">
        <f t="shared" si="328"/>
        <v>#REF!</v>
      </c>
      <c r="UR16" s="90">
        <f t="shared" si="329"/>
        <v>6084.38</v>
      </c>
      <c r="US16" s="90">
        <f t="shared" si="330"/>
        <v>7440.3433333333351</v>
      </c>
      <c r="UT16" s="90">
        <f t="shared" si="331"/>
        <v>7440.3433333333351</v>
      </c>
      <c r="UU16" s="90">
        <f t="shared" si="516"/>
        <v>7702.8233333333346</v>
      </c>
      <c r="UV16" s="90">
        <f t="shared" si="333"/>
        <v>7598.6766666666672</v>
      </c>
      <c r="UW16" s="90">
        <f t="shared" si="334"/>
        <v>6.3800000000000008</v>
      </c>
      <c r="UX16" s="90">
        <f t="shared" si="335"/>
        <v>3.92</v>
      </c>
      <c r="UY16" s="90">
        <f t="shared" si="336"/>
        <v>3.8018927444794954</v>
      </c>
      <c r="UZ16" s="100">
        <f t="shared" si="337"/>
        <v>3.5511981479999997</v>
      </c>
      <c r="VA16" s="90">
        <f t="shared" si="338"/>
        <v>0.61</v>
      </c>
      <c r="VB16" s="90">
        <f t="shared" si="339"/>
        <v>1.85</v>
      </c>
      <c r="VC16" s="90">
        <f t="shared" si="340"/>
        <v>0</v>
      </c>
      <c r="VD16" s="90">
        <f t="shared" si="341"/>
        <v>0</v>
      </c>
      <c r="VE16" s="90">
        <f t="shared" si="342"/>
        <v>0</v>
      </c>
      <c r="VF16" s="90">
        <f t="shared" si="343"/>
        <v>0</v>
      </c>
      <c r="VG16" s="90">
        <f t="shared" si="344"/>
        <v>0</v>
      </c>
      <c r="VH16" s="90">
        <f t="shared" si="345"/>
        <v>0</v>
      </c>
      <c r="VI16" s="90">
        <f t="shared" si="346"/>
        <v>0</v>
      </c>
      <c r="VJ16" s="90">
        <f t="shared" si="347"/>
        <v>0</v>
      </c>
      <c r="VK16" s="90">
        <f t="shared" si="348"/>
        <v>0.9</v>
      </c>
      <c r="VL16" s="90">
        <f t="shared" si="349"/>
        <v>3.64</v>
      </c>
      <c r="VM16" s="90">
        <f t="shared" si="350"/>
        <v>5.92</v>
      </c>
      <c r="VN16" s="90">
        <f t="shared" si="351"/>
        <v>0</v>
      </c>
      <c r="VO16" s="90">
        <f t="shared" si="352"/>
        <v>5.92</v>
      </c>
      <c r="VP16" s="97">
        <v>0</v>
      </c>
      <c r="VQ16" s="97">
        <v>5.92</v>
      </c>
      <c r="VR16" s="90">
        <f t="shared" si="353"/>
        <v>0.48</v>
      </c>
      <c r="VS16" s="90">
        <f t="shared" si="354"/>
        <v>0.17</v>
      </c>
      <c r="VT16" s="90">
        <v>0.11989898989898991</v>
      </c>
      <c r="VU16" s="90">
        <f t="shared" si="355"/>
        <v>0.16589999999999999</v>
      </c>
      <c r="VV16" s="90">
        <v>0.38175323599898991</v>
      </c>
      <c r="VW16" s="90">
        <f t="shared" si="356"/>
        <v>0.65</v>
      </c>
      <c r="VX16" s="90">
        <f t="shared" si="357"/>
        <v>16.59</v>
      </c>
      <c r="VY16" s="90">
        <f t="shared" si="358"/>
        <v>16.59</v>
      </c>
      <c r="VZ16" s="90">
        <f t="shared" si="359"/>
        <v>0</v>
      </c>
      <c r="WA16" s="90"/>
      <c r="WB16" s="90">
        <f t="shared" si="360"/>
        <v>16.59</v>
      </c>
      <c r="WC16" s="90">
        <f t="shared" si="361"/>
        <v>0</v>
      </c>
      <c r="WD16" s="90"/>
      <c r="WE16" s="90">
        <v>16.59</v>
      </c>
      <c r="WF16" s="90"/>
      <c r="WG16" s="90">
        <f t="shared" si="362"/>
        <v>9466.2540000000008</v>
      </c>
      <c r="WH16" s="90">
        <f t="shared" si="363"/>
        <v>9466.2540000000008</v>
      </c>
      <c r="WI16" s="90">
        <f t="shared" si="364"/>
        <v>9462.3300000000017</v>
      </c>
      <c r="WJ16" s="90">
        <f t="shared" si="365"/>
        <v>6084.38</v>
      </c>
      <c r="WK16" s="97">
        <v>3377.95</v>
      </c>
      <c r="WL16" s="97">
        <v>5.92</v>
      </c>
      <c r="WM16" s="90">
        <f t="shared" si="366"/>
        <v>3377.95</v>
      </c>
      <c r="WN16" s="90">
        <f t="shared" si="367"/>
        <v>5.92</v>
      </c>
      <c r="WO16" s="90"/>
      <c r="WP16" s="97">
        <v>15.41</v>
      </c>
      <c r="WQ16" s="90">
        <f t="shared" si="368"/>
        <v>16.59</v>
      </c>
      <c r="WR16" s="91">
        <f t="shared" si="369"/>
        <v>113.78600823045268</v>
      </c>
      <c r="WS16" s="91">
        <f t="shared" si="370"/>
        <v>147.07446808510639</v>
      </c>
      <c r="WT16" s="90">
        <f t="shared" si="371"/>
        <v>8792.9500000000007</v>
      </c>
      <c r="WU16" s="90">
        <f t="shared" si="372"/>
        <v>9462.3300000000017</v>
      </c>
      <c r="WV16" s="90">
        <f t="shared" si="373"/>
        <v>-669.38000000000102</v>
      </c>
      <c r="WW16" s="90">
        <v>3.3</v>
      </c>
      <c r="WX16" s="90"/>
      <c r="WY16" s="90"/>
      <c r="WZ16" s="90">
        <f t="shared" si="374"/>
        <v>4.772043434343435</v>
      </c>
      <c r="XA16" s="90">
        <v>0</v>
      </c>
      <c r="XB16" s="90">
        <f t="shared" si="375"/>
        <v>4.772043434343435</v>
      </c>
      <c r="XC16" s="90">
        <f t="shared" si="376"/>
        <v>0.46229999999999999</v>
      </c>
      <c r="XD16" s="90">
        <f t="shared" si="377"/>
        <v>0.15565656565656566</v>
      </c>
      <c r="XE16" s="90"/>
      <c r="XF16" s="90">
        <f t="shared" si="378"/>
        <v>15.41</v>
      </c>
      <c r="XG16" s="90">
        <v>4.8487807570977912</v>
      </c>
      <c r="XH16" s="20">
        <v>14.579999999999998</v>
      </c>
      <c r="XI16" s="20">
        <v>0</v>
      </c>
      <c r="XJ16" s="20"/>
      <c r="XK16" s="20"/>
      <c r="XL16" s="20"/>
      <c r="XM16" s="20">
        <f t="shared" si="379"/>
        <v>14.579999999999998</v>
      </c>
      <c r="XN16" s="91">
        <f t="shared" si="380"/>
        <v>113.78600823045268</v>
      </c>
      <c r="XO16" s="20">
        <f t="shared" si="381"/>
        <v>14.579999999999998</v>
      </c>
      <c r="XP16" s="90">
        <f t="shared" si="382"/>
        <v>11.279999999999998</v>
      </c>
      <c r="XQ16" s="91">
        <f t="shared" si="383"/>
        <v>113.78600823045268</v>
      </c>
      <c r="XR16" s="102"/>
      <c r="XS16" s="90">
        <f t="shared" si="384"/>
        <v>3.64</v>
      </c>
      <c r="XT16" s="90">
        <f t="shared" si="385"/>
        <v>6.3800000000000008</v>
      </c>
      <c r="XU16" s="90">
        <f t="shared" si="386"/>
        <v>3.92</v>
      </c>
      <c r="XV16" s="90">
        <f t="shared" si="387"/>
        <v>0.61</v>
      </c>
      <c r="XW16" s="90">
        <f t="shared" si="388"/>
        <v>0.61</v>
      </c>
      <c r="XX16" s="90">
        <f t="shared" si="389"/>
        <v>0</v>
      </c>
      <c r="XY16" s="90">
        <f t="shared" si="390"/>
        <v>1.85</v>
      </c>
      <c r="XZ16" s="90">
        <f t="shared" si="391"/>
        <v>0</v>
      </c>
      <c r="YA16" s="90">
        <f t="shared" si="392"/>
        <v>0</v>
      </c>
      <c r="YB16" s="90">
        <f t="shared" si="393"/>
        <v>0</v>
      </c>
      <c r="YC16" s="90">
        <f t="shared" si="393"/>
        <v>0</v>
      </c>
      <c r="YD16" s="90">
        <f t="shared" si="394"/>
        <v>1.85</v>
      </c>
      <c r="YE16" s="90">
        <f t="shared" si="395"/>
        <v>5.92</v>
      </c>
      <c r="YF16" s="90">
        <f t="shared" si="396"/>
        <v>0.65</v>
      </c>
      <c r="YG16" s="90">
        <f t="shared" si="397"/>
        <v>16.59</v>
      </c>
      <c r="YI16" s="103" t="s">
        <v>462</v>
      </c>
      <c r="YK16" s="90">
        <f t="shared" si="398"/>
        <v>1.07</v>
      </c>
      <c r="YL16" s="90">
        <f t="shared" si="399"/>
        <v>0.61</v>
      </c>
      <c r="YM16" s="90">
        <f t="shared" si="399"/>
        <v>1.85</v>
      </c>
      <c r="YN16" s="90">
        <f t="shared" si="400"/>
        <v>3.64</v>
      </c>
      <c r="YO16" s="90">
        <f t="shared" si="401"/>
        <v>9.42</v>
      </c>
      <c r="YP16" s="90">
        <f t="shared" si="402"/>
        <v>0</v>
      </c>
      <c r="YQ16" s="90">
        <f t="shared" si="403"/>
        <v>16.59</v>
      </c>
      <c r="YR16" s="90">
        <f t="shared" si="404"/>
        <v>0</v>
      </c>
      <c r="YS16" s="104">
        <f t="shared" si="405"/>
        <v>16.59</v>
      </c>
      <c r="YT16" s="104">
        <f t="shared" si="406"/>
        <v>0</v>
      </c>
      <c r="YY16" s="90">
        <f t="shared" si="407"/>
        <v>8.19</v>
      </c>
      <c r="YZ16" s="90">
        <f t="shared" si="408"/>
        <v>4.18</v>
      </c>
      <c r="ZA16" s="90">
        <f t="shared" si="409"/>
        <v>0.54</v>
      </c>
      <c r="ZB16" s="90">
        <f t="shared" si="410"/>
        <v>3.47</v>
      </c>
      <c r="ZC16" s="90">
        <f t="shared" si="411"/>
        <v>0</v>
      </c>
      <c r="ZD16" s="90">
        <f t="shared" si="412"/>
        <v>0</v>
      </c>
      <c r="ZE16" s="90">
        <f t="shared" si="413"/>
        <v>0</v>
      </c>
      <c r="ZF16" s="90">
        <f t="shared" si="414"/>
        <v>0</v>
      </c>
      <c r="ZG16" s="90">
        <f t="shared" si="415"/>
        <v>0</v>
      </c>
      <c r="ZH16" s="90">
        <f t="shared" si="416"/>
        <v>0</v>
      </c>
      <c r="ZI16" s="90">
        <f t="shared" si="417"/>
        <v>0</v>
      </c>
      <c r="ZJ16" s="90">
        <f t="shared" si="418"/>
        <v>0</v>
      </c>
      <c r="ZK16" s="90">
        <f t="shared" si="419"/>
        <v>0</v>
      </c>
      <c r="ZL16" s="90">
        <f t="shared" si="420"/>
        <v>0.02</v>
      </c>
      <c r="ZM16" s="90">
        <f t="shared" si="421"/>
        <v>4.1100000000000003</v>
      </c>
      <c r="ZN16" s="90">
        <f t="shared" si="422"/>
        <v>8.74</v>
      </c>
      <c r="ZO16" s="90">
        <f t="shared" si="423"/>
        <v>7.77</v>
      </c>
      <c r="ZP16" s="90">
        <f t="shared" si="424"/>
        <v>5.27</v>
      </c>
      <c r="ZQ16" s="90">
        <f t="shared" si="425"/>
        <v>0</v>
      </c>
      <c r="ZR16" s="90">
        <f t="shared" si="426"/>
        <v>5.27</v>
      </c>
      <c r="ZS16" s="97">
        <v>227</v>
      </c>
      <c r="ZT16" s="97">
        <v>230.38</v>
      </c>
      <c r="ZU16" s="90">
        <f t="shared" si="427"/>
        <v>0.55000000000000004</v>
      </c>
      <c r="ZV16" s="90">
        <f t="shared" si="428"/>
        <v>0.19</v>
      </c>
      <c r="ZW16" s="90">
        <v>0.11989898989898991</v>
      </c>
      <c r="ZX16" s="90">
        <f t="shared" si="429"/>
        <v>0.18309999999999998</v>
      </c>
      <c r="ZY16" s="90">
        <v>0.38175323599898991</v>
      </c>
      <c r="ZZ16" s="90">
        <f t="shared" si="430"/>
        <v>0.74</v>
      </c>
      <c r="AAA16" s="90">
        <f t="shared" si="431"/>
        <v>18.309999999999999</v>
      </c>
      <c r="AAB16" s="90">
        <f t="shared" si="432"/>
        <v>18.309999999999999</v>
      </c>
      <c r="AAC16" s="90">
        <f t="shared" si="433"/>
        <v>0</v>
      </c>
      <c r="AAD16" s="90"/>
      <c r="AAE16" s="90">
        <f t="shared" si="434"/>
        <v>18.309999999999999</v>
      </c>
      <c r="AAF16" s="90">
        <v>16.59</v>
      </c>
      <c r="AAG16" s="90">
        <f t="shared" si="435"/>
        <v>110.36769138034961</v>
      </c>
      <c r="AAH16" s="90">
        <f t="shared" si="436"/>
        <v>0</v>
      </c>
      <c r="AAI16" s="90">
        <v>0</v>
      </c>
      <c r="AAJ16" s="90"/>
      <c r="AAK16" s="1">
        <v>18.11</v>
      </c>
      <c r="AAL16" s="104">
        <f t="shared" si="437"/>
        <v>0.19999999999999929</v>
      </c>
      <c r="AAM16" s="103" t="s">
        <v>463</v>
      </c>
      <c r="AAN16" s="105">
        <v>8.58</v>
      </c>
      <c r="AAO16" s="90">
        <f t="shared" si="438"/>
        <v>8.9200000000000017</v>
      </c>
      <c r="AAP16" s="90">
        <v>4.21</v>
      </c>
      <c r="AAQ16" s="90">
        <f t="shared" si="439"/>
        <v>4.18</v>
      </c>
      <c r="AAR16" s="90">
        <v>0.54</v>
      </c>
      <c r="AAS16" s="90">
        <f t="shared" si="440"/>
        <v>0.81</v>
      </c>
      <c r="AAT16" s="90">
        <f t="shared" si="441"/>
        <v>150</v>
      </c>
      <c r="AAU16" s="90">
        <v>3.83</v>
      </c>
      <c r="AAV16" s="90">
        <f t="shared" si="442"/>
        <v>3.47</v>
      </c>
      <c r="AAW16" s="90">
        <f t="shared" si="443"/>
        <v>90.600522193211503</v>
      </c>
      <c r="AAX16" s="90">
        <f t="shared" si="444"/>
        <v>0.46</v>
      </c>
      <c r="AAY16" s="90">
        <f t="shared" si="445"/>
        <v>0</v>
      </c>
      <c r="AAZ16" s="90">
        <f t="shared" si="446"/>
        <v>0</v>
      </c>
      <c r="ABA16" s="90">
        <f t="shared" si="447"/>
        <v>0</v>
      </c>
      <c r="ABB16" s="90">
        <f t="shared" si="448"/>
        <v>0</v>
      </c>
      <c r="ABC16" s="90">
        <v>0</v>
      </c>
      <c r="ABD16" s="90">
        <f t="shared" si="449"/>
        <v>0</v>
      </c>
      <c r="ABE16" s="90"/>
      <c r="ABF16" s="90">
        <v>0</v>
      </c>
      <c r="ABG16" s="90">
        <f t="shared" si="450"/>
        <v>0</v>
      </c>
      <c r="ABH16" s="90"/>
      <c r="ABI16" s="90">
        <f t="shared" si="451"/>
        <v>0</v>
      </c>
      <c r="ABJ16" s="90">
        <f t="shared" si="452"/>
        <v>0</v>
      </c>
      <c r="ABK16" s="90">
        <v>0</v>
      </c>
      <c r="ABL16" s="90">
        <f t="shared" si="453"/>
        <v>0</v>
      </c>
      <c r="ABM16" s="90">
        <f t="shared" si="454"/>
        <v>0</v>
      </c>
      <c r="ABN16" s="90">
        <f t="shared" si="455"/>
        <v>0.02</v>
      </c>
      <c r="ABO16" s="90">
        <v>3.91</v>
      </c>
      <c r="ABP16" s="90">
        <f t="shared" si="456"/>
        <v>4.1100000000000003</v>
      </c>
      <c r="ABQ16" s="90">
        <f t="shared" si="457"/>
        <v>105.1150895140665</v>
      </c>
      <c r="ABR16" s="90">
        <f t="shared" si="458"/>
        <v>8.74</v>
      </c>
      <c r="ABS16" s="90">
        <f t="shared" si="459"/>
        <v>7.77</v>
      </c>
      <c r="ABT16" s="90">
        <v>4.92</v>
      </c>
      <c r="ABU16" s="90">
        <f t="shared" si="460"/>
        <v>5.27</v>
      </c>
      <c r="ABV16" s="90">
        <f t="shared" si="461"/>
        <v>107.11382113821138</v>
      </c>
      <c r="ABW16" s="90">
        <f t="shared" si="462"/>
        <v>0</v>
      </c>
      <c r="ABX16" s="90">
        <f t="shared" si="463"/>
        <v>5.27</v>
      </c>
      <c r="ABY16" s="97">
        <v>227</v>
      </c>
      <c r="ABZ16" s="97">
        <v>230.38</v>
      </c>
      <c r="ACA16" s="90">
        <f t="shared" si="464"/>
        <v>0.55000000000000004</v>
      </c>
      <c r="ACB16" s="90">
        <f t="shared" si="465"/>
        <v>0.19</v>
      </c>
      <c r="ACC16" s="90">
        <v>0.11989898989898991</v>
      </c>
      <c r="ACD16" s="90">
        <f t="shared" si="466"/>
        <v>0.18579999999999999</v>
      </c>
      <c r="ACE16" s="90">
        <v>0.38175323599898991</v>
      </c>
      <c r="ACF16" s="90">
        <v>0.7</v>
      </c>
      <c r="ACG16" s="90">
        <f t="shared" si="467"/>
        <v>0.74</v>
      </c>
      <c r="ACH16" s="90">
        <f t="shared" si="468"/>
        <v>105.71428571428572</v>
      </c>
      <c r="ACI16" s="90">
        <f t="shared" si="469"/>
        <v>19.04</v>
      </c>
      <c r="ACJ16" s="90">
        <f t="shared" si="470"/>
        <v>18.579999999999998</v>
      </c>
      <c r="ACK16" s="90">
        <f t="shared" si="471"/>
        <v>-0.46000000000000085</v>
      </c>
      <c r="ACL16" s="90"/>
      <c r="ACM16" s="90">
        <f t="shared" si="472"/>
        <v>19.04</v>
      </c>
      <c r="ACN16" s="90">
        <f t="shared" si="473"/>
        <v>0</v>
      </c>
      <c r="ACO16" s="90">
        <f t="shared" si="474"/>
        <v>19.04</v>
      </c>
      <c r="ACP16" s="90">
        <v>18.11</v>
      </c>
      <c r="ACQ16" s="90">
        <f t="shared" si="475"/>
        <v>105.13528437327444</v>
      </c>
      <c r="ACR16" s="90">
        <f t="shared" si="476"/>
        <v>0</v>
      </c>
      <c r="ACS16" s="90">
        <v>0</v>
      </c>
      <c r="ACT16" s="90"/>
      <c r="ACU16" s="90">
        <f t="shared" si="477"/>
        <v>19.033609999999999</v>
      </c>
      <c r="ACV16" s="90">
        <f t="shared" si="478"/>
        <v>-6.3899999999996737E-3</v>
      </c>
      <c r="ACX16" s="106" t="s">
        <v>464</v>
      </c>
      <c r="ACY16" s="107"/>
      <c r="ACZ16" s="107">
        <v>130000</v>
      </c>
      <c r="ADB16" s="90">
        <f t="shared" si="479"/>
        <v>4.1100000000000003</v>
      </c>
      <c r="ADC16" s="90">
        <f t="shared" si="480"/>
        <v>8.92</v>
      </c>
      <c r="ADD16" s="90">
        <f t="shared" si="481"/>
        <v>4.18</v>
      </c>
      <c r="ADE16" s="90">
        <f t="shared" si="517"/>
        <v>1.27</v>
      </c>
      <c r="ADF16" s="90">
        <f t="shared" si="483"/>
        <v>0.81</v>
      </c>
      <c r="ADG16" s="90">
        <f t="shared" si="484"/>
        <v>0.46</v>
      </c>
      <c r="ADH16" s="90">
        <f t="shared" si="484"/>
        <v>0</v>
      </c>
      <c r="ADI16" s="90">
        <f t="shared" si="484"/>
        <v>0</v>
      </c>
      <c r="ADJ16" s="90">
        <f t="shared" si="485"/>
        <v>3.47</v>
      </c>
      <c r="ADK16" s="90">
        <f t="shared" si="486"/>
        <v>0</v>
      </c>
      <c r="ADL16" s="90">
        <f t="shared" si="487"/>
        <v>0</v>
      </c>
      <c r="ADM16" s="90">
        <f t="shared" si="488"/>
        <v>0</v>
      </c>
      <c r="ADN16" s="90">
        <f t="shared" si="488"/>
        <v>0</v>
      </c>
      <c r="ADO16" s="90">
        <f t="shared" si="489"/>
        <v>3.47</v>
      </c>
      <c r="ADP16" s="90">
        <f t="shared" si="490"/>
        <v>5.27</v>
      </c>
      <c r="ADQ16" s="90">
        <f t="shared" si="491"/>
        <v>0.74</v>
      </c>
      <c r="ADR16" s="90">
        <f t="shared" si="492"/>
        <v>19.04</v>
      </c>
      <c r="ADU16" s="90">
        <f t="shared" si="493"/>
        <v>1.1499999999999999</v>
      </c>
      <c r="ADV16" s="90">
        <f t="shared" si="494"/>
        <v>0.81</v>
      </c>
      <c r="ADW16" s="90">
        <f t="shared" si="495"/>
        <v>3.47</v>
      </c>
      <c r="ADX16" s="90">
        <f t="shared" si="496"/>
        <v>4.1100000000000003</v>
      </c>
      <c r="ADY16" s="90">
        <f t="shared" si="497"/>
        <v>9.0399999999999991</v>
      </c>
      <c r="ADZ16" s="90">
        <f t="shared" si="498"/>
        <v>0</v>
      </c>
      <c r="AEA16" s="90">
        <f t="shared" si="499"/>
        <v>19.04</v>
      </c>
      <c r="AEB16" s="90">
        <f t="shared" si="500"/>
        <v>0</v>
      </c>
      <c r="AEC16" s="104">
        <f t="shared" si="501"/>
        <v>18.579999999999998</v>
      </c>
      <c r="AED16" s="104">
        <f t="shared" si="502"/>
        <v>0.46000000000000085</v>
      </c>
      <c r="AEG16" s="1">
        <v>8.58</v>
      </c>
      <c r="AEH16" s="1">
        <v>4.21</v>
      </c>
      <c r="AEI16" s="1">
        <v>0.54</v>
      </c>
      <c r="AEJ16" s="1">
        <v>3.83</v>
      </c>
      <c r="AEK16" s="1">
        <v>0</v>
      </c>
      <c r="AEL16" s="1">
        <v>0</v>
      </c>
      <c r="AEM16" s="1">
        <v>0</v>
      </c>
      <c r="AEN16" s="1">
        <v>0</v>
      </c>
      <c r="AEO16" s="1">
        <v>0</v>
      </c>
      <c r="AEP16" s="1">
        <v>0</v>
      </c>
      <c r="AEQ16" s="1">
        <v>0</v>
      </c>
      <c r="AER16" s="1">
        <v>0</v>
      </c>
      <c r="AES16" s="1">
        <v>0</v>
      </c>
      <c r="AET16" s="1">
        <v>0</v>
      </c>
      <c r="AEU16" s="1">
        <v>0</v>
      </c>
      <c r="AEV16" s="1">
        <v>0.02</v>
      </c>
      <c r="AEW16" s="1">
        <v>3.91</v>
      </c>
      <c r="AEX16" s="1">
        <v>8.75</v>
      </c>
      <c r="AEY16" s="1">
        <v>7.77</v>
      </c>
      <c r="AEZ16" s="1">
        <v>4.92</v>
      </c>
      <c r="AFA16" s="1">
        <v>0</v>
      </c>
      <c r="AFB16" s="1">
        <v>4.92</v>
      </c>
      <c r="AFC16" s="1">
        <v>227</v>
      </c>
      <c r="AFD16" s="1">
        <v>230.38</v>
      </c>
      <c r="AFE16" s="1">
        <v>0.52</v>
      </c>
      <c r="AFF16" s="1">
        <v>0.18</v>
      </c>
      <c r="AFG16" s="1">
        <v>0.11989898989898991</v>
      </c>
      <c r="AFH16" s="1">
        <v>0.18110000000000001</v>
      </c>
      <c r="AFI16" s="1">
        <v>0.38175323599898991</v>
      </c>
      <c r="AFJ16" s="1">
        <v>0.7</v>
      </c>
      <c r="AFK16" s="1">
        <v>18.11</v>
      </c>
      <c r="AFL16" s="1">
        <v>18.11</v>
      </c>
      <c r="AFM16" s="1">
        <v>0</v>
      </c>
      <c r="AFO16" s="1">
        <v>18.11</v>
      </c>
      <c r="AFP16" s="1">
        <v>0</v>
      </c>
      <c r="AFQ16" s="1">
        <v>18.11</v>
      </c>
      <c r="AFX16" s="1">
        <v>18.43</v>
      </c>
    </row>
    <row r="17" spans="1:856" s="1" customFormat="1" ht="63.75" customHeight="1">
      <c r="A17" s="88">
        <v>9</v>
      </c>
      <c r="B17" s="20"/>
      <c r="C17" s="89" t="s">
        <v>465</v>
      </c>
      <c r="D17" s="20"/>
      <c r="E17" s="20" t="s">
        <v>437</v>
      </c>
      <c r="F17" s="20" t="s">
        <v>438</v>
      </c>
      <c r="G17" s="20">
        <v>0.8</v>
      </c>
      <c r="H17" s="20">
        <v>570.4</v>
      </c>
      <c r="I17" s="20">
        <f>570.4-0.5+0.3-2.7+0.7</f>
        <v>568.19999999999993</v>
      </c>
      <c r="J17" s="20">
        <f t="shared" si="0"/>
        <v>454.55999999999995</v>
      </c>
      <c r="K17" s="20">
        <v>12</v>
      </c>
      <c r="L17" s="20"/>
      <c r="M17" s="20"/>
      <c r="N17" s="20"/>
      <c r="O17" s="90">
        <f t="shared" si="1"/>
        <v>0</v>
      </c>
      <c r="P17" s="20"/>
      <c r="Q17" s="20"/>
      <c r="R17" s="90">
        <f t="shared" si="2"/>
        <v>0</v>
      </c>
      <c r="S17" s="20">
        <v>58</v>
      </c>
      <c r="T17" s="20">
        <v>2.6</v>
      </c>
      <c r="U17" s="20">
        <v>3.13</v>
      </c>
      <c r="V17" s="91">
        <f t="shared" si="3"/>
        <v>472</v>
      </c>
      <c r="W17" s="20">
        <v>2.1000000000000001E-2</v>
      </c>
      <c r="X17" s="20">
        <f t="shared" si="4"/>
        <v>33.42</v>
      </c>
      <c r="Y17" s="91">
        <f t="shared" si="5"/>
        <v>40.71</v>
      </c>
      <c r="Z17" s="20"/>
      <c r="AA17" s="20"/>
      <c r="AB17" s="20"/>
      <c r="AC17" s="91">
        <f t="shared" si="6"/>
        <v>512.71</v>
      </c>
      <c r="AD17" s="90">
        <f t="shared" si="7"/>
        <v>0.9</v>
      </c>
      <c r="AE17" s="92">
        <f t="shared" si="8"/>
        <v>6152.52</v>
      </c>
      <c r="AF17" s="20">
        <v>27</v>
      </c>
      <c r="AG17" s="20">
        <v>26</v>
      </c>
      <c r="AH17" s="20">
        <v>26</v>
      </c>
      <c r="AI17" s="20">
        <v>29</v>
      </c>
      <c r="AJ17" s="20">
        <v>1.6</v>
      </c>
      <c r="AK17" s="90">
        <f t="shared" si="9"/>
        <v>3.47</v>
      </c>
      <c r="AL17" s="90">
        <v>391.01</v>
      </c>
      <c r="AM17" s="90">
        <f t="shared" si="10"/>
        <v>1356.8</v>
      </c>
      <c r="AN17" s="20">
        <v>29</v>
      </c>
      <c r="AO17" s="20">
        <v>28</v>
      </c>
      <c r="AP17" s="20">
        <v>27</v>
      </c>
      <c r="AQ17" s="20">
        <v>29</v>
      </c>
      <c r="AR17" s="20">
        <v>28</v>
      </c>
      <c r="AS17" s="20">
        <v>30</v>
      </c>
      <c r="AT17" s="20">
        <f t="shared" si="11"/>
        <v>1</v>
      </c>
      <c r="AU17" s="20">
        <v>1.6</v>
      </c>
      <c r="AV17" s="90">
        <f t="shared" si="12"/>
        <v>3.6</v>
      </c>
      <c r="AW17" s="90">
        <f>ROUND((187.84*6+189.92*6)/12,2)</f>
        <v>188.88</v>
      </c>
      <c r="AX17" s="90">
        <v>755.52</v>
      </c>
      <c r="AY17" s="90">
        <f t="shared" si="14"/>
        <v>1.33</v>
      </c>
      <c r="AZ17" s="90">
        <f t="shared" si="15"/>
        <v>1407.64</v>
      </c>
      <c r="BA17" s="90">
        <f t="shared" si="16"/>
        <v>-652.12000000000012</v>
      </c>
      <c r="BB17" s="90">
        <v>755.52</v>
      </c>
      <c r="BC17" s="90">
        <v>1.33</v>
      </c>
      <c r="BD17" s="92">
        <f t="shared" si="17"/>
        <v>9066.24</v>
      </c>
      <c r="BE17" s="90"/>
      <c r="BF17" s="90">
        <f t="shared" si="18"/>
        <v>0</v>
      </c>
      <c r="BG17" s="90">
        <v>391.01</v>
      </c>
      <c r="BH17" s="90">
        <f t="shared" si="19"/>
        <v>1407.64</v>
      </c>
      <c r="BI17" s="90">
        <f t="shared" si="20"/>
        <v>2.48</v>
      </c>
      <c r="BJ17" s="90">
        <f t="shared" si="21"/>
        <v>186.46616541353382</v>
      </c>
      <c r="BK17" s="90">
        <f t="shared" si="22"/>
        <v>1407.64</v>
      </c>
      <c r="BL17" s="90">
        <f t="shared" si="23"/>
        <v>2.48</v>
      </c>
      <c r="BM17" s="90"/>
      <c r="BN17" s="90">
        <f t="shared" si="24"/>
        <v>0</v>
      </c>
      <c r="BO17" s="90">
        <f t="shared" si="25"/>
        <v>1407.64</v>
      </c>
      <c r="BP17" s="90">
        <f t="shared" si="26"/>
        <v>2.4773671242520243</v>
      </c>
      <c r="BQ17" s="90"/>
      <c r="BR17" s="90">
        <f t="shared" si="27"/>
        <v>0</v>
      </c>
      <c r="BS17" s="90">
        <f t="shared" si="28"/>
        <v>1407.64</v>
      </c>
      <c r="BT17" s="90">
        <f t="shared" si="29"/>
        <v>2.4773671242520243</v>
      </c>
      <c r="BU17" s="90"/>
      <c r="BV17" s="93">
        <v>1.4356370000000001</v>
      </c>
      <c r="BW17" s="90">
        <f t="shared" si="30"/>
        <v>815.72894339999993</v>
      </c>
      <c r="BX17" s="90">
        <f t="shared" si="31"/>
        <v>864.67268000399997</v>
      </c>
      <c r="BY17" s="90"/>
      <c r="BZ17" s="90"/>
      <c r="CA17" s="90">
        <v>0.2651</v>
      </c>
      <c r="CB17" s="90">
        <f>I17*CA17</f>
        <v>150.62982</v>
      </c>
      <c r="CC17" s="90">
        <v>0.71072749999999996</v>
      </c>
      <c r="CD17" s="90">
        <f t="shared" si="33"/>
        <v>107.05675539404999</v>
      </c>
      <c r="CE17" s="90">
        <f t="shared" si="34"/>
        <v>161.88068457561019</v>
      </c>
      <c r="CF17" s="90">
        <v>158.03441579261599</v>
      </c>
      <c r="CG17" s="90">
        <v>158.03441579261599</v>
      </c>
      <c r="CH17" s="90">
        <f t="shared" si="35"/>
        <v>165.62</v>
      </c>
      <c r="CI17" s="90">
        <f t="shared" si="503"/>
        <v>173.81797478920802</v>
      </c>
      <c r="CJ17" s="90">
        <f t="shared" si="36"/>
        <v>174.73</v>
      </c>
      <c r="CK17" s="90">
        <f t="shared" si="37"/>
        <v>184.79683795747218</v>
      </c>
      <c r="CL17" s="90">
        <f t="shared" si="38"/>
        <v>184.79683795747218</v>
      </c>
      <c r="CM17" s="94">
        <v>0.14899999999999999</v>
      </c>
      <c r="CN17" s="90">
        <f t="shared" si="39"/>
        <v>121.54361256659999</v>
      </c>
      <c r="CO17" s="90">
        <f t="shared" si="40"/>
        <v>128.836229320596</v>
      </c>
      <c r="CP17" s="90"/>
      <c r="CQ17" s="90">
        <v>3.9538999999999998E-2</v>
      </c>
      <c r="CR17" s="90">
        <f>I17*CQ17</f>
        <v>22.466059799999996</v>
      </c>
      <c r="CS17" s="90">
        <v>0.71072749999999996</v>
      </c>
      <c r="CT17" s="90">
        <f t="shared" si="42"/>
        <v>15.967246516504497</v>
      </c>
      <c r="CU17" s="90">
        <f t="shared" si="43"/>
        <v>24.144098028800649</v>
      </c>
      <c r="CV17" s="90">
        <v>48.83283249719905</v>
      </c>
      <c r="CW17" s="90">
        <f t="shared" si="44"/>
        <v>51.18</v>
      </c>
      <c r="CX17" s="90">
        <f t="shared" si="504"/>
        <v>53.713343495421242</v>
      </c>
      <c r="CY17" s="90">
        <f t="shared" si="45"/>
        <v>53.99</v>
      </c>
      <c r="CZ17" s="90">
        <f t="shared" si="46"/>
        <v>57.106038924425953</v>
      </c>
      <c r="DA17" s="90">
        <f t="shared" si="47"/>
        <v>57.106038924425953</v>
      </c>
      <c r="DB17" s="93">
        <v>1.4169099999999999</v>
      </c>
      <c r="DC17" s="90">
        <f t="shared" si="48"/>
        <v>805.08826199999987</v>
      </c>
      <c r="DD17" s="90">
        <f t="shared" si="49"/>
        <v>853.39355771999988</v>
      </c>
      <c r="DE17" s="90"/>
      <c r="DF17" s="90"/>
      <c r="DG17" s="90">
        <v>0.16261541099999999</v>
      </c>
      <c r="DH17" s="90">
        <f>I17*DG17</f>
        <v>92.398076530199987</v>
      </c>
      <c r="DI17" s="90">
        <v>0.71072749999999996</v>
      </c>
      <c r="DJ17" s="90">
        <f t="shared" si="51"/>
        <v>65.669853937117708</v>
      </c>
      <c r="DK17" s="90">
        <f t="shared" si="52"/>
        <v>99.299487194357653</v>
      </c>
      <c r="DL17" s="90">
        <v>78.554942642804519</v>
      </c>
      <c r="DM17" s="90">
        <f t="shared" si="53"/>
        <v>82.33</v>
      </c>
      <c r="DN17" s="90">
        <f t="shared" si="505"/>
        <v>86.405228018328074</v>
      </c>
      <c r="DO17" s="90">
        <f t="shared" si="54"/>
        <v>86.86</v>
      </c>
      <c r="DP17" s="90">
        <f t="shared" si="55"/>
        <v>91.862840653536296</v>
      </c>
      <c r="DQ17" s="90">
        <f t="shared" si="56"/>
        <v>91.862840653536296</v>
      </c>
      <c r="DR17" s="93">
        <v>5.6880149999999997E-2</v>
      </c>
      <c r="DS17" s="90">
        <f t="shared" si="57"/>
        <v>32.319301229999994</v>
      </c>
      <c r="DT17" s="90">
        <f t="shared" si="58"/>
        <v>34.258459303799995</v>
      </c>
      <c r="DU17" s="90"/>
      <c r="DV17" s="90">
        <v>6.1506E-3</v>
      </c>
      <c r="DW17" s="90">
        <f>I17*DV17</f>
        <v>3.4947709199999997</v>
      </c>
      <c r="DX17" s="90">
        <v>0.71072749999999996</v>
      </c>
      <c r="DY17" s="90">
        <f t="shared" si="60"/>
        <v>2.4838297990442997</v>
      </c>
      <c r="DZ17" s="90">
        <f t="shared" si="61"/>
        <v>3.7558028613758889</v>
      </c>
      <c r="EA17" s="90">
        <f t="shared" si="62"/>
        <v>3.94</v>
      </c>
      <c r="EB17" s="90">
        <f t="shared" si="506"/>
        <v>4.1350248802649414</v>
      </c>
      <c r="EC17" s="90">
        <f t="shared" si="63"/>
        <v>4.16</v>
      </c>
      <c r="ED17" s="90">
        <f t="shared" si="64"/>
        <v>4.3962054193481483</v>
      </c>
      <c r="EE17" s="90">
        <f t="shared" si="65"/>
        <v>4.3962054193481483</v>
      </c>
      <c r="EF17" s="94">
        <v>0.85293354333000004</v>
      </c>
      <c r="EG17" s="90">
        <f t="shared" si="66"/>
        <v>387.70947145608477</v>
      </c>
      <c r="EH17" s="90">
        <f t="shared" si="67"/>
        <v>410.9720397434499</v>
      </c>
      <c r="EI17" s="90"/>
      <c r="EJ17" s="90">
        <v>0.58975</v>
      </c>
      <c r="EK17" s="90">
        <f t="shared" si="68"/>
        <v>268.07675999999998</v>
      </c>
      <c r="EL17" s="90">
        <v>0.71072749999999996</v>
      </c>
      <c r="EM17" s="90">
        <f t="shared" si="69"/>
        <v>190.52952544289997</v>
      </c>
      <c r="EN17" s="90">
        <f t="shared" si="70"/>
        <v>288.09998861853222</v>
      </c>
      <c r="EO17" s="90">
        <v>280.96794322790834</v>
      </c>
      <c r="EP17" s="90">
        <f t="shared" si="71"/>
        <v>294.45</v>
      </c>
      <c r="EQ17" s="90">
        <f t="shared" si="507"/>
        <v>309.02489238426699</v>
      </c>
      <c r="ER17" s="90">
        <f t="shared" si="72"/>
        <v>310.64</v>
      </c>
      <c r="ES17" s="90">
        <f t="shared" si="73"/>
        <v>328.54382886473661</v>
      </c>
      <c r="ET17" s="90">
        <f t="shared" si="74"/>
        <v>328.54382886473661</v>
      </c>
      <c r="EU17" s="94">
        <v>0.14899999999999999</v>
      </c>
      <c r="EV17" s="90">
        <f t="shared" si="75"/>
        <v>57.768711246956627</v>
      </c>
      <c r="EW17" s="90">
        <f t="shared" si="76"/>
        <v>61.234833921774026</v>
      </c>
      <c r="EX17" s="90"/>
      <c r="EY17" s="90">
        <v>8.7870000000000004E-2</v>
      </c>
      <c r="EZ17" s="90">
        <f t="shared" si="77"/>
        <v>39.942187199999999</v>
      </c>
      <c r="FA17" s="90">
        <v>0.71072749999999996</v>
      </c>
      <c r="FB17" s="90">
        <f t="shared" si="78"/>
        <v>28.388010853187996</v>
      </c>
      <c r="FC17" s="90">
        <f t="shared" si="79"/>
        <v>42.925554895990558</v>
      </c>
      <c r="FD17" s="90">
        <v>86.879852846002919</v>
      </c>
      <c r="FE17" s="90">
        <f t="shared" si="80"/>
        <v>91.05</v>
      </c>
      <c r="FF17" s="90">
        <f t="shared" si="508"/>
        <v>95.55685668734084</v>
      </c>
      <c r="FG17" s="90">
        <f t="shared" si="81"/>
        <v>96.06</v>
      </c>
      <c r="FH17" s="90">
        <f t="shared" si="82"/>
        <v>101.59251356133221</v>
      </c>
      <c r="FI17" s="90">
        <f t="shared" si="83"/>
        <v>101.59251356133221</v>
      </c>
      <c r="FJ17" s="93">
        <v>0.49981642240000002</v>
      </c>
      <c r="FK17" s="90">
        <f t="shared" si="84"/>
        <v>227.19655296614397</v>
      </c>
      <c r="FL17" s="90">
        <f t="shared" si="85"/>
        <v>240.82834614411263</v>
      </c>
      <c r="FM17" s="90"/>
      <c r="FN17" s="90">
        <v>0.35812500000000003</v>
      </c>
      <c r="FO17" s="90">
        <f t="shared" si="86"/>
        <v>162.7893</v>
      </c>
      <c r="FP17" s="90">
        <v>0.71072749999999996</v>
      </c>
      <c r="FQ17" s="90">
        <f t="shared" si="87"/>
        <v>115.69883221574999</v>
      </c>
      <c r="FR17" s="90">
        <f t="shared" si="88"/>
        <v>174.94838223656103</v>
      </c>
      <c r="FS17" s="90">
        <v>137.91267056650949</v>
      </c>
      <c r="FT17" s="90">
        <f t="shared" si="89"/>
        <v>144.53</v>
      </c>
      <c r="FU17" s="90">
        <v>138.02820854332148</v>
      </c>
      <c r="FV17" s="90">
        <f t="shared" si="90"/>
        <v>144.65</v>
      </c>
      <c r="FW17" s="90">
        <f t="shared" si="509"/>
        <v>151.80998703815322</v>
      </c>
      <c r="FX17" s="90">
        <f t="shared" si="91"/>
        <v>152.61000000000001</v>
      </c>
      <c r="FY17" s="90">
        <f t="shared" si="92"/>
        <v>161.39875987530701</v>
      </c>
      <c r="FZ17" s="90">
        <f t="shared" si="93"/>
        <v>161.39875987530701</v>
      </c>
      <c r="GA17" s="94">
        <v>1.352261642E-2</v>
      </c>
      <c r="GB17" s="90">
        <f t="shared" si="94"/>
        <v>6.146840519875199</v>
      </c>
      <c r="GC17" s="90">
        <f t="shared" si="95"/>
        <v>6.5156509510677116</v>
      </c>
      <c r="GD17" s="90"/>
      <c r="GE17" s="90">
        <v>1.0749999999999999E-2</v>
      </c>
      <c r="GF17" s="90">
        <f t="shared" si="96"/>
        <v>4.8865199999999991</v>
      </c>
      <c r="GG17" s="90">
        <v>0.71072749999999996</v>
      </c>
      <c r="GH17" s="90">
        <f t="shared" si="97"/>
        <v>3.4729841432999993</v>
      </c>
      <c r="GI17" s="90">
        <f t="shared" si="98"/>
        <v>5.2515046674849026</v>
      </c>
      <c r="GJ17" s="90">
        <f t="shared" si="99"/>
        <v>5.5</v>
      </c>
      <c r="GK17" s="90">
        <f t="shared" si="510"/>
        <v>5.7722428531617203</v>
      </c>
      <c r="GL17" s="90">
        <f t="shared" si="100"/>
        <v>5.8</v>
      </c>
      <c r="GM17" s="90">
        <f t="shared" si="101"/>
        <v>6.1368349762474157</v>
      </c>
      <c r="GN17" s="90">
        <f t="shared" si="102"/>
        <v>6.1368349762474157</v>
      </c>
      <c r="GO17" s="90">
        <v>2419.1999999999998</v>
      </c>
      <c r="GP17" s="90">
        <f t="shared" si="103"/>
        <v>201.6</v>
      </c>
      <c r="GQ17" s="90">
        <f>1587.6+138.6</f>
        <v>1726.1999999999998</v>
      </c>
      <c r="GR17" s="90">
        <f t="shared" si="104"/>
        <v>143.85</v>
      </c>
      <c r="GS17" s="90">
        <f t="shared" si="105"/>
        <v>345.45</v>
      </c>
      <c r="GT17" s="90">
        <f t="shared" si="106"/>
        <v>0.61</v>
      </c>
      <c r="GU17" s="90">
        <v>2302.8000000000002</v>
      </c>
      <c r="GV17" s="90">
        <f>1254+110.2</f>
        <v>1364.2</v>
      </c>
      <c r="GW17" s="90">
        <f t="shared" si="107"/>
        <v>305.58333333333331</v>
      </c>
      <c r="GX17" s="90">
        <f t="shared" si="108"/>
        <v>0.54</v>
      </c>
      <c r="GY17" s="90">
        <v>4115.3999999999996</v>
      </c>
      <c r="GZ17" s="90">
        <f>1333.8+117.8</f>
        <v>1451.6</v>
      </c>
      <c r="HA17" s="90">
        <f t="shared" si="109"/>
        <v>463.91666666666669</v>
      </c>
      <c r="HB17" s="90">
        <f t="shared" si="110"/>
        <v>0.82</v>
      </c>
      <c r="HC17" s="90">
        <v>4115.3999999999996</v>
      </c>
      <c r="HD17" s="90">
        <f>1333.8+117.8</f>
        <v>1451.6</v>
      </c>
      <c r="HE17" s="90">
        <f t="shared" si="111"/>
        <v>463.91666666666669</v>
      </c>
      <c r="HF17" s="90">
        <f t="shared" si="112"/>
        <v>0.82</v>
      </c>
      <c r="HG17" s="90"/>
      <c r="HH17" s="90"/>
      <c r="HI17" s="90">
        <v>0.96</v>
      </c>
      <c r="HJ17" s="90">
        <f t="shared" si="113"/>
        <v>545.47199999999987</v>
      </c>
      <c r="HK17" s="90">
        <f t="shared" si="114"/>
        <v>1.0060718057022175</v>
      </c>
      <c r="HL17" s="90">
        <f t="shared" si="115"/>
        <v>571.65</v>
      </c>
      <c r="HM17" s="90">
        <v>1.07</v>
      </c>
      <c r="HN17" s="90">
        <f t="shared" si="116"/>
        <v>607.97399999999993</v>
      </c>
      <c r="HO17" s="90">
        <v>1.1499999999999999</v>
      </c>
      <c r="HP17" s="90">
        <f t="shared" si="117"/>
        <v>653.42999999999995</v>
      </c>
      <c r="HQ17" s="90">
        <v>1.1499999999999999</v>
      </c>
      <c r="HR17" s="90">
        <f t="shared" si="118"/>
        <v>653.42999999999995</v>
      </c>
      <c r="HS17" s="90">
        <v>0.31919999999999998</v>
      </c>
      <c r="HT17" s="90">
        <f t="shared" si="119"/>
        <v>181.36943999999997</v>
      </c>
      <c r="HU17" s="90" t="e">
        <f>HT17*#REF!</f>
        <v>#REF!</v>
      </c>
      <c r="HV17" s="90">
        <v>2.83</v>
      </c>
      <c r="HW17" s="90">
        <v>3.1</v>
      </c>
      <c r="HX17" s="90">
        <f t="shared" si="120"/>
        <v>1761.4199999999998</v>
      </c>
      <c r="HY17" s="90">
        <v>1.06</v>
      </c>
      <c r="HZ17" s="90">
        <f t="shared" si="121"/>
        <v>1867.1052</v>
      </c>
      <c r="IA17" s="90">
        <f t="shared" si="122"/>
        <v>3.29</v>
      </c>
      <c r="IB17" s="90">
        <f t="shared" si="123"/>
        <v>3.45</v>
      </c>
      <c r="IC17" s="90">
        <f t="shared" si="124"/>
        <v>1960.29</v>
      </c>
      <c r="ID17" s="90">
        <f t="shared" si="125"/>
        <v>3.64</v>
      </c>
      <c r="IE17" s="90">
        <f t="shared" si="126"/>
        <v>2068.25</v>
      </c>
      <c r="IF17" s="90">
        <f t="shared" si="127"/>
        <v>3.64</v>
      </c>
      <c r="IG17" s="92">
        <f t="shared" si="128"/>
        <v>24819</v>
      </c>
      <c r="IH17" s="90">
        <v>3.91</v>
      </c>
      <c r="II17" s="90">
        <f t="shared" si="129"/>
        <v>4.1100000000000003</v>
      </c>
      <c r="IJ17" s="90">
        <f t="shared" si="130"/>
        <v>2335.3000000000002</v>
      </c>
      <c r="IK17" s="90">
        <f t="shared" si="131"/>
        <v>4.1100000000000003</v>
      </c>
      <c r="IL17" s="90">
        <f t="shared" si="132"/>
        <v>2335.3000000000002</v>
      </c>
      <c r="IM17" s="90">
        <f t="shared" si="133"/>
        <v>4.1100000000000003</v>
      </c>
      <c r="IN17" s="90">
        <f t="shared" si="134"/>
        <v>2335.3000000000002</v>
      </c>
      <c r="IO17" s="90">
        <f t="shared" si="135"/>
        <v>4.1100000000000003</v>
      </c>
      <c r="IP17" s="93">
        <v>0.37052404126999999</v>
      </c>
      <c r="IQ17" s="90">
        <f t="shared" si="136"/>
        <v>168.42540819969119</v>
      </c>
      <c r="IR17" s="90">
        <f t="shared" si="137"/>
        <v>178.53093269167266</v>
      </c>
      <c r="IS17" s="90">
        <v>108693.96</v>
      </c>
      <c r="IT17" s="90">
        <v>3053.33</v>
      </c>
      <c r="IU17" s="94"/>
      <c r="IV17" s="94"/>
      <c r="IW17" s="94">
        <v>1.6976249999999999</v>
      </c>
      <c r="IX17" s="90">
        <f t="shared" si="138"/>
        <v>771.67241999999987</v>
      </c>
      <c r="IY17" s="93">
        <v>0.56339614052999998</v>
      </c>
      <c r="IZ17" s="90">
        <f t="shared" si="139"/>
        <v>320.12168704914598</v>
      </c>
      <c r="JA17" s="90">
        <f t="shared" si="140"/>
        <v>335.49</v>
      </c>
      <c r="JB17" s="90">
        <f t="shared" si="511"/>
        <v>352.09631905585917</v>
      </c>
      <c r="JC17" s="90">
        <f t="shared" si="141"/>
        <v>353.94</v>
      </c>
      <c r="JD17" s="90">
        <f t="shared" si="142"/>
        <v>374.33577566931734</v>
      </c>
      <c r="JE17" s="90">
        <f t="shared" si="143"/>
        <v>374.33577566931734</v>
      </c>
      <c r="JF17" s="93">
        <v>4.2278943710000003E-2</v>
      </c>
      <c r="JG17" s="90">
        <f t="shared" si="144"/>
        <v>19.218316652817599</v>
      </c>
      <c r="JH17" s="90">
        <f t="shared" si="145"/>
        <v>20.371415651986656</v>
      </c>
      <c r="JI17" s="20">
        <v>462.98</v>
      </c>
      <c r="JJ17" s="20"/>
      <c r="JK17" s="20">
        <v>6.0624999999999998E-2</v>
      </c>
      <c r="JL17" s="90">
        <f t="shared" si="146"/>
        <v>27.557699999999997</v>
      </c>
      <c r="JM17" s="93">
        <v>6.7347080040000007E-2</v>
      </c>
      <c r="JN17" s="90">
        <f t="shared" si="147"/>
        <v>38.266610878728002</v>
      </c>
      <c r="JO17" s="90">
        <f t="shared" si="148"/>
        <v>40.1</v>
      </c>
      <c r="JP17" s="90">
        <f t="shared" si="512"/>
        <v>42.084897893051817</v>
      </c>
      <c r="JQ17" s="90">
        <f t="shared" si="149"/>
        <v>42.31</v>
      </c>
      <c r="JR17" s="90">
        <f t="shared" si="150"/>
        <v>44.743105917731157</v>
      </c>
      <c r="JS17" s="90">
        <f t="shared" si="151"/>
        <v>44.743105917731157</v>
      </c>
      <c r="JT17" s="93">
        <v>7.3220517000000002E-3</v>
      </c>
      <c r="JU17" s="90">
        <f t="shared" si="152"/>
        <v>3.3283118207519995</v>
      </c>
      <c r="JV17" s="90">
        <f t="shared" si="153"/>
        <v>3.49</v>
      </c>
      <c r="JW17" s="90">
        <f t="shared" si="513"/>
        <v>3.6627504650062557</v>
      </c>
      <c r="JX17" s="90">
        <f t="shared" si="154"/>
        <v>3.68</v>
      </c>
      <c r="JY17" s="90">
        <f t="shared" si="155"/>
        <v>3.8941007394733607</v>
      </c>
      <c r="JZ17" s="90">
        <f t="shared" si="156"/>
        <v>3.8941007394733607</v>
      </c>
      <c r="KA17" s="90">
        <v>8.3090999999999998E-3</v>
      </c>
      <c r="KB17" s="90">
        <f t="shared" si="157"/>
        <v>3.7769844959999994</v>
      </c>
      <c r="KC17" s="90" t="e">
        <f>KB17*#REF!</f>
        <v>#REF!</v>
      </c>
      <c r="KD17" s="90">
        <v>34406.519999999997</v>
      </c>
      <c r="KE17" s="90">
        <v>40292.97</v>
      </c>
      <c r="KF17" s="90"/>
      <c r="KG17" s="90">
        <f t="shared" si="158"/>
        <v>665.41067082634333</v>
      </c>
      <c r="KH17" s="90" t="e">
        <f>KG17/(BW17+#REF!)*(CB17+#REF!)</f>
        <v>#REF!</v>
      </c>
      <c r="KI17" s="90">
        <v>0.8</v>
      </c>
      <c r="KJ17" s="94"/>
      <c r="KK17" s="90">
        <f t="shared" si="159"/>
        <v>0</v>
      </c>
      <c r="KL17" s="93">
        <v>1.2690177</v>
      </c>
      <c r="KM17" s="90">
        <f t="shared" si="160"/>
        <v>721.05585713999994</v>
      </c>
      <c r="KN17" s="90">
        <f t="shared" si="161"/>
        <v>764.31920856839997</v>
      </c>
      <c r="KO17" s="90" t="e">
        <f>BW17+CN17+DC17+DS17+EG17+EV17+FK17+GB17+#REF!+#REF!+HJ17+HX17+IQ17+JG17+JU17+KK17+KM17</f>
        <v>#REF!</v>
      </c>
      <c r="KP17" s="90"/>
      <c r="KQ17" s="90">
        <v>0.50815001599999998</v>
      </c>
      <c r="KR17" s="90">
        <f t="shared" si="514"/>
        <v>288.73083909119998</v>
      </c>
      <c r="KS17" s="90">
        <v>0.71072749999999996</v>
      </c>
      <c r="KT17" s="90">
        <f t="shared" si="163"/>
        <v>205.20894744019083</v>
      </c>
      <c r="KU17" s="90">
        <f t="shared" si="164"/>
        <v>310.29676521006144</v>
      </c>
      <c r="KV17" s="90">
        <f t="shared" si="165"/>
        <v>325.19</v>
      </c>
      <c r="KW17" s="90">
        <f t="shared" si="515"/>
        <v>341.28648243993814</v>
      </c>
      <c r="KX17" s="90">
        <f t="shared" si="166"/>
        <v>343.08</v>
      </c>
      <c r="KY17" s="90">
        <f t="shared" si="167"/>
        <v>362.84315744107221</v>
      </c>
      <c r="KZ17" s="90">
        <f t="shared" si="168"/>
        <v>362.84315744107221</v>
      </c>
      <c r="LA17" s="90">
        <f t="shared" si="169"/>
        <v>2227.3400000000006</v>
      </c>
      <c r="LB17" s="90">
        <f t="shared" si="170"/>
        <v>3.92</v>
      </c>
      <c r="LC17" s="92">
        <f t="shared" si="171"/>
        <v>26728.080000000009</v>
      </c>
      <c r="LD17" s="92">
        <v>4.21</v>
      </c>
      <c r="LE17" s="92">
        <v>2392.12</v>
      </c>
      <c r="LF17" s="90">
        <f t="shared" si="172"/>
        <v>4.18</v>
      </c>
      <c r="LG17" s="90">
        <f t="shared" si="173"/>
        <v>2375.08</v>
      </c>
      <c r="LH17" s="90">
        <f t="shared" si="174"/>
        <v>2394.3905000000004</v>
      </c>
      <c r="LI17" s="90">
        <f t="shared" si="175"/>
        <v>4.21</v>
      </c>
      <c r="LJ17" s="90">
        <f t="shared" si="176"/>
        <v>2375.08</v>
      </c>
      <c r="LK17" s="90">
        <f t="shared" si="177"/>
        <v>4.18</v>
      </c>
      <c r="LL17" s="90">
        <f t="shared" si="178"/>
        <v>2375.08</v>
      </c>
      <c r="LM17" s="90">
        <f t="shared" si="179"/>
        <v>4.18</v>
      </c>
      <c r="LN17" s="95">
        <v>0.46</v>
      </c>
      <c r="LO17" s="95">
        <f t="shared" si="180"/>
        <v>261.37</v>
      </c>
      <c r="LP17" s="95"/>
      <c r="LQ17" s="95">
        <f t="shared" si="181"/>
        <v>0</v>
      </c>
      <c r="LR17" s="90"/>
      <c r="LS17" s="90"/>
      <c r="LT17" s="90">
        <f t="shared" si="182"/>
        <v>0</v>
      </c>
      <c r="LU17" s="90"/>
      <c r="LV17" s="90">
        <f t="shared" si="183"/>
        <v>0</v>
      </c>
      <c r="LW17" s="90">
        <f t="shared" si="184"/>
        <v>0</v>
      </c>
      <c r="LX17" s="90"/>
      <c r="LY17" s="90"/>
      <c r="LZ17" s="90">
        <f t="shared" si="185"/>
        <v>0</v>
      </c>
      <c r="MA17" s="90"/>
      <c r="MB17" s="90">
        <f t="shared" si="186"/>
        <v>0</v>
      </c>
      <c r="MC17" s="90">
        <f t="shared" si="187"/>
        <v>0</v>
      </c>
      <c r="MD17" s="90"/>
      <c r="ME17" s="90"/>
      <c r="MF17" s="90">
        <f t="shared" si="188"/>
        <v>0</v>
      </c>
      <c r="MG17" s="90"/>
      <c r="MH17" s="90">
        <f t="shared" si="189"/>
        <v>0</v>
      </c>
      <c r="MI17" s="90">
        <f t="shared" si="190"/>
        <v>0</v>
      </c>
      <c r="MJ17" s="90"/>
      <c r="MK17" s="90"/>
      <c r="ML17" s="90">
        <f t="shared" si="191"/>
        <v>0</v>
      </c>
      <c r="MM17" s="90"/>
      <c r="MN17" s="90">
        <f t="shared" si="192"/>
        <v>0</v>
      </c>
      <c r="MO17" s="90">
        <f t="shared" si="193"/>
        <v>0</v>
      </c>
      <c r="MP17" s="90">
        <f t="shared" si="194"/>
        <v>0</v>
      </c>
      <c r="MQ17" s="90">
        <f t="shared" si="195"/>
        <v>0</v>
      </c>
      <c r="MR17" s="90">
        <f t="shared" si="196"/>
        <v>0</v>
      </c>
      <c r="MS17" s="90">
        <f t="shared" si="197"/>
        <v>0</v>
      </c>
      <c r="MT17" s="95"/>
      <c r="MU17" s="95">
        <f t="shared" si="198"/>
        <v>0</v>
      </c>
      <c r="MV17" s="92">
        <f t="shared" si="199"/>
        <v>0</v>
      </c>
      <c r="MW17" s="95"/>
      <c r="MX17" s="95">
        <f t="shared" si="200"/>
        <v>0</v>
      </c>
      <c r="MY17" s="95"/>
      <c r="MZ17" s="95">
        <f t="shared" si="201"/>
        <v>0</v>
      </c>
      <c r="NA17" s="95"/>
      <c r="NB17" s="95">
        <f t="shared" si="202"/>
        <v>0</v>
      </c>
      <c r="NC17" s="92">
        <f t="shared" si="203"/>
        <v>0</v>
      </c>
      <c r="ND17" s="95"/>
      <c r="NE17" s="95">
        <f t="shared" si="204"/>
        <v>0</v>
      </c>
      <c r="NF17" s="95"/>
      <c r="NG17" s="95">
        <f t="shared" si="205"/>
        <v>0</v>
      </c>
      <c r="NH17" s="95"/>
      <c r="NI17" s="95"/>
      <c r="NJ17" s="95">
        <f t="shared" si="206"/>
        <v>0</v>
      </c>
      <c r="NK17" s="92">
        <f t="shared" si="207"/>
        <v>0</v>
      </c>
      <c r="NL17" s="95"/>
      <c r="NM17" s="95">
        <f t="shared" si="208"/>
        <v>0</v>
      </c>
      <c r="NN17" s="95"/>
      <c r="NO17" s="95">
        <f t="shared" si="209"/>
        <v>0</v>
      </c>
      <c r="NP17" s="95"/>
      <c r="NQ17" s="95">
        <f t="shared" si="210"/>
        <v>0</v>
      </c>
      <c r="NR17" s="92">
        <f t="shared" si="211"/>
        <v>0</v>
      </c>
      <c r="NS17" s="95"/>
      <c r="NT17" s="95">
        <f t="shared" si="212"/>
        <v>0</v>
      </c>
      <c r="NU17" s="95"/>
      <c r="NV17" s="95">
        <f t="shared" si="213"/>
        <v>0</v>
      </c>
      <c r="NW17" s="95"/>
      <c r="NX17" s="95">
        <f t="shared" si="214"/>
        <v>0</v>
      </c>
      <c r="NY17" s="92">
        <f t="shared" si="215"/>
        <v>0</v>
      </c>
      <c r="NZ17" s="95"/>
      <c r="OA17" s="95">
        <f t="shared" si="216"/>
        <v>0</v>
      </c>
      <c r="OB17" s="95"/>
      <c r="OC17" s="95">
        <f t="shared" si="217"/>
        <v>0</v>
      </c>
      <c r="OD17" s="90">
        <v>3659.21</v>
      </c>
      <c r="OE17" s="90">
        <f t="shared" si="218"/>
        <v>6.44</v>
      </c>
      <c r="OF17" s="92">
        <f t="shared" si="219"/>
        <v>43910.520000000004</v>
      </c>
      <c r="OG17" s="96">
        <v>755.52</v>
      </c>
      <c r="OH17" s="96">
        <v>1.33</v>
      </c>
      <c r="OI17" s="90">
        <v>4414.91</v>
      </c>
      <c r="OJ17" s="90">
        <f t="shared" si="220"/>
        <v>7.77</v>
      </c>
      <c r="OK17" s="90">
        <f t="shared" si="221"/>
        <v>4414.7299999999996</v>
      </c>
      <c r="OL17" s="90">
        <f t="shared" si="222"/>
        <v>7.77</v>
      </c>
      <c r="OM17" s="90">
        <f t="shared" si="223"/>
        <v>0</v>
      </c>
      <c r="ON17" s="90">
        <v>3659.21</v>
      </c>
      <c r="OO17" s="90">
        <f t="shared" si="224"/>
        <v>6.44</v>
      </c>
      <c r="OP17" s="90">
        <v>3659.39</v>
      </c>
      <c r="OQ17" s="90">
        <v>6.44</v>
      </c>
      <c r="OR17" s="90">
        <f t="shared" si="225"/>
        <v>0</v>
      </c>
      <c r="OS17" s="90">
        <f t="shared" si="226"/>
        <v>6.4399999999999995</v>
      </c>
      <c r="OT17" s="90">
        <v>3659.21</v>
      </c>
      <c r="OU17" s="90">
        <f t="shared" si="227"/>
        <v>6.44</v>
      </c>
      <c r="OV17" s="97">
        <v>3091.01</v>
      </c>
      <c r="OW17" s="90">
        <f t="shared" si="228"/>
        <v>3091.01</v>
      </c>
      <c r="OX17" s="90">
        <f t="shared" si="229"/>
        <v>5.44</v>
      </c>
      <c r="OY17" s="90">
        <f>OU17-1</f>
        <v>5.44</v>
      </c>
      <c r="OZ17" s="90"/>
      <c r="PA17" s="90"/>
      <c r="PB17" s="95">
        <f t="shared" si="230"/>
        <v>0</v>
      </c>
      <c r="PC17" s="92">
        <f t="shared" si="231"/>
        <v>0</v>
      </c>
      <c r="PD17" s="90"/>
      <c r="PE17" s="95">
        <f t="shared" si="232"/>
        <v>0</v>
      </c>
      <c r="PF17" s="90">
        <f t="shared" si="233"/>
        <v>9055.77</v>
      </c>
      <c r="PG17" s="90">
        <f t="shared" si="234"/>
        <v>15.94</v>
      </c>
      <c r="PH17" s="90">
        <f t="shared" si="235"/>
        <v>9934.3166666666657</v>
      </c>
      <c r="PI17" s="90">
        <f t="shared" si="236"/>
        <v>17.48</v>
      </c>
      <c r="PJ17" s="90">
        <f t="shared" si="237"/>
        <v>9934.3166666666657</v>
      </c>
      <c r="PK17" s="90">
        <f t="shared" si="238"/>
        <v>17.48</v>
      </c>
      <c r="PL17" s="90"/>
      <c r="PM17" s="90">
        <f t="shared" si="239"/>
        <v>271.67</v>
      </c>
      <c r="PN17" s="90">
        <f t="shared" si="240"/>
        <v>0.48</v>
      </c>
      <c r="PO17" s="92">
        <f t="shared" si="241"/>
        <v>3260.04</v>
      </c>
      <c r="PP17" s="90">
        <f t="shared" si="242"/>
        <v>298.02999999999997</v>
      </c>
      <c r="PQ17" s="90">
        <f t="shared" si="243"/>
        <v>0.52</v>
      </c>
      <c r="PR17" s="90">
        <f t="shared" si="244"/>
        <v>298.02999999999997</v>
      </c>
      <c r="PS17" s="90">
        <f t="shared" si="245"/>
        <v>0.52</v>
      </c>
      <c r="PT17" s="90">
        <f t="shared" si="246"/>
        <v>9327.44</v>
      </c>
      <c r="PU17" s="90">
        <f t="shared" si="247"/>
        <v>16.420000000000002</v>
      </c>
      <c r="PV17" s="90">
        <f t="shared" si="248"/>
        <v>10232.346666666666</v>
      </c>
      <c r="PW17" s="90">
        <f t="shared" si="249"/>
        <v>18.010000000000002</v>
      </c>
      <c r="PX17" s="90">
        <f t="shared" si="250"/>
        <v>10232.346666666666</v>
      </c>
      <c r="PY17" s="90">
        <f t="shared" si="251"/>
        <v>18.010000000000002</v>
      </c>
      <c r="PZ17" s="90">
        <f t="shared" si="252"/>
        <v>94.22</v>
      </c>
      <c r="QA17" s="90">
        <f t="shared" si="253"/>
        <v>0.17</v>
      </c>
      <c r="QB17" s="92">
        <f t="shared" si="254"/>
        <v>1130.6399999999999</v>
      </c>
      <c r="QC17" s="90">
        <f t="shared" si="255"/>
        <v>103.36</v>
      </c>
      <c r="QD17" s="90">
        <f t="shared" si="256"/>
        <v>0.18</v>
      </c>
      <c r="QE17" s="90">
        <f t="shared" si="257"/>
        <v>103.36</v>
      </c>
      <c r="QF17" s="90">
        <f t="shared" si="258"/>
        <v>0.18</v>
      </c>
      <c r="QG17" s="90">
        <f t="shared" si="259"/>
        <v>9421.66</v>
      </c>
      <c r="QH17" s="90">
        <f t="shared" si="260"/>
        <v>16.579999999999998</v>
      </c>
      <c r="QI17" s="92">
        <f t="shared" si="261"/>
        <v>113059.92</v>
      </c>
      <c r="QJ17" s="90">
        <f t="shared" si="262"/>
        <v>357.86648243993812</v>
      </c>
      <c r="QK17" s="98">
        <f t="shared" si="263"/>
        <v>0.21869999999999998</v>
      </c>
      <c r="QL17" s="90">
        <f t="shared" si="264"/>
        <v>124.26533999999997</v>
      </c>
      <c r="QM17" s="90">
        <f t="shared" si="265"/>
        <v>0.14579999999999999</v>
      </c>
      <c r="QN17" s="90">
        <f t="shared" si="266"/>
        <v>82.843559999999982</v>
      </c>
      <c r="QO17" s="90">
        <v>0.21869999999999998</v>
      </c>
      <c r="QP17" s="90">
        <v>0.14579999999999999</v>
      </c>
      <c r="QQ17" s="97">
        <f t="shared" si="267"/>
        <v>207.10889999999995</v>
      </c>
      <c r="QR17" s="97">
        <v>207.10889999999995</v>
      </c>
      <c r="QS17" s="97">
        <f t="shared" si="268"/>
        <v>0</v>
      </c>
      <c r="QT17" s="90"/>
      <c r="QU17" s="90">
        <f t="shared" si="269"/>
        <v>0.14579999999999999</v>
      </c>
      <c r="QV17" s="90">
        <f t="shared" si="270"/>
        <v>82.843559999999982</v>
      </c>
      <c r="QW17" s="90">
        <f t="shared" si="271"/>
        <v>207.10889999999995</v>
      </c>
      <c r="QX17" s="90">
        <f t="shared" si="272"/>
        <v>0.36449999999999994</v>
      </c>
      <c r="QY17" s="90"/>
      <c r="QZ17" s="90"/>
      <c r="RA17" s="90"/>
      <c r="RB17" s="90">
        <v>2114.64</v>
      </c>
      <c r="RC17" s="97">
        <f t="shared" si="273"/>
        <v>9421.66</v>
      </c>
      <c r="RD17" s="97">
        <f t="shared" si="274"/>
        <v>16.579999999999998</v>
      </c>
      <c r="RE17" s="90">
        <f t="shared" si="275"/>
        <v>10335.706666666667</v>
      </c>
      <c r="RF17" s="90">
        <f t="shared" si="276"/>
        <v>18.190000000000001</v>
      </c>
      <c r="RG17" s="90">
        <f t="shared" si="277"/>
        <v>109.64436407474383</v>
      </c>
      <c r="RH17" s="90">
        <f t="shared" si="278"/>
        <v>10335.706666666667</v>
      </c>
      <c r="RI17" s="90">
        <f t="shared" si="279"/>
        <v>18.190000000000001</v>
      </c>
      <c r="RJ17" s="90">
        <v>17.940000000000001</v>
      </c>
      <c r="RK17" s="90">
        <v>0</v>
      </c>
      <c r="RL17" s="90">
        <f t="shared" si="280"/>
        <v>0.25</v>
      </c>
      <c r="RM17" s="90">
        <f t="shared" si="281"/>
        <v>104.36029833620194</v>
      </c>
      <c r="RN17" s="90">
        <f t="shared" si="282"/>
        <v>5707.67</v>
      </c>
      <c r="RO17" s="90"/>
      <c r="RP17" s="90"/>
      <c r="RQ17" s="99">
        <v>673</v>
      </c>
      <c r="RR17" s="90">
        <f t="shared" si="283"/>
        <v>5762.4500000000016</v>
      </c>
      <c r="RS17" s="90">
        <f t="shared" si="284"/>
        <v>10.14158746920099</v>
      </c>
      <c r="RT17" s="90">
        <f>11.28+3.3</f>
        <v>14.579999999999998</v>
      </c>
      <c r="RU17" s="90">
        <f t="shared" si="285"/>
        <v>8284.3559999999979</v>
      </c>
      <c r="RV17" s="90">
        <f t="shared" si="286"/>
        <v>0.62982485469894078</v>
      </c>
      <c r="RW17" s="90">
        <v>10.43</v>
      </c>
      <c r="RX17" s="90">
        <f t="shared" si="287"/>
        <v>10.951499999999999</v>
      </c>
      <c r="RY17" s="90">
        <f t="shared" si="288"/>
        <v>6222.6422999999986</v>
      </c>
      <c r="RZ17" s="90">
        <f t="shared" si="289"/>
        <v>1641.664595490671</v>
      </c>
      <c r="SA17" s="90">
        <f t="shared" si="290"/>
        <v>734.47598574204505</v>
      </c>
      <c r="SB17" s="90">
        <f t="shared" si="291"/>
        <v>1110.6022682887742</v>
      </c>
      <c r="SC17" s="90">
        <f t="shared" si="292"/>
        <v>2017.7908780374005</v>
      </c>
      <c r="SD17" s="90">
        <f t="shared" si="293"/>
        <v>2017.7908780374</v>
      </c>
      <c r="SE17" s="90">
        <f t="shared" si="294"/>
        <v>2048.1870982801643</v>
      </c>
      <c r="SF17" s="90">
        <f t="shared" si="295"/>
        <v>2017.6753400605885</v>
      </c>
      <c r="SG17" s="90">
        <f t="shared" si="296"/>
        <v>0.11553797681199285</v>
      </c>
      <c r="SH17" s="90">
        <f t="shared" si="297"/>
        <v>2017.7908780374005</v>
      </c>
      <c r="SI17" s="90">
        <f t="shared" si="298"/>
        <v>3.5511983070000004</v>
      </c>
      <c r="SJ17" s="90">
        <f t="shared" si="299"/>
        <v>3.550994966667703</v>
      </c>
      <c r="SK17" s="90"/>
      <c r="SL17" s="90"/>
      <c r="SM17" s="90"/>
      <c r="SN17" s="90">
        <f t="shared" si="300"/>
        <v>2160.25</v>
      </c>
      <c r="SO17" s="90" t="e">
        <f>RU17-#REF!-#REF!-HZ17-LT17-LZ17-MF17-ML17-QL17-QN17-SD17</f>
        <v>#REF!</v>
      </c>
      <c r="SP17" s="90">
        <f t="shared" si="301"/>
        <v>2114.64</v>
      </c>
      <c r="SQ17" s="90">
        <f t="shared" si="302"/>
        <v>2227.3400000000006</v>
      </c>
      <c r="SR17" s="90">
        <f t="shared" si="303"/>
        <v>3.7216473072861671</v>
      </c>
      <c r="SS17" s="90">
        <f t="shared" si="304"/>
        <v>3.9199929602252741</v>
      </c>
      <c r="ST17" s="90">
        <f t="shared" si="305"/>
        <v>2235.8340000000003</v>
      </c>
      <c r="SU17" s="90">
        <v>3.7216473072861671</v>
      </c>
      <c r="SV17" s="90">
        <f t="shared" si="306"/>
        <v>3.93</v>
      </c>
      <c r="SW17" s="90">
        <v>3.92</v>
      </c>
      <c r="SX17" s="90">
        <f t="shared" si="307"/>
        <v>2227.34</v>
      </c>
      <c r="SY17" s="90">
        <v>3.7216473072861671</v>
      </c>
      <c r="SZ17" s="90">
        <f t="shared" si="308"/>
        <v>2114.64</v>
      </c>
      <c r="TA17" s="90">
        <f t="shared" si="309"/>
        <v>0</v>
      </c>
      <c r="TB17" s="90">
        <v>0</v>
      </c>
      <c r="TC17" s="90">
        <f t="shared" si="310"/>
        <v>3102.9470999999971</v>
      </c>
      <c r="TD17" s="90" t="e">
        <f>#REF!+#REF!</f>
        <v>#REF!</v>
      </c>
      <c r="TE17" s="90" t="e">
        <f t="shared" si="311"/>
        <v>#REF!</v>
      </c>
      <c r="TF17" s="90">
        <v>3144.4070999999981</v>
      </c>
      <c r="TG17" s="90">
        <f t="shared" si="312"/>
        <v>37.455501670860087</v>
      </c>
      <c r="TH17" s="95"/>
      <c r="TI17" s="95"/>
      <c r="TJ17" s="95"/>
      <c r="TK17" s="95"/>
      <c r="TL17" s="95"/>
      <c r="TM17" s="95">
        <f t="shared" si="313"/>
        <v>0</v>
      </c>
      <c r="TN17" s="95">
        <f t="shared" si="314"/>
        <v>8284.3559999999979</v>
      </c>
      <c r="TO17" s="95">
        <f t="shared" si="315"/>
        <v>37.455501670860087</v>
      </c>
      <c r="TP17" s="95"/>
      <c r="TQ17" s="95">
        <f t="shared" si="316"/>
        <v>14.579999999999998</v>
      </c>
      <c r="TR17" s="95"/>
      <c r="TS17" s="95"/>
      <c r="TT17" s="95"/>
      <c r="TU17" s="95"/>
      <c r="TV17" s="95"/>
      <c r="TW17" s="95"/>
      <c r="TX17" s="95"/>
      <c r="TY17" s="95"/>
      <c r="TZ17" s="95">
        <f t="shared" si="317"/>
        <v>2.5</v>
      </c>
      <c r="UA17" s="95">
        <f t="shared" si="318"/>
        <v>0.64151999999999998</v>
      </c>
      <c r="UB17" s="90">
        <v>0</v>
      </c>
      <c r="UC17" s="90">
        <f t="shared" si="319"/>
        <v>0</v>
      </c>
      <c r="UD17" s="90">
        <f t="shared" si="320"/>
        <v>0</v>
      </c>
      <c r="UE17" s="90">
        <f t="shared" si="321"/>
        <v>0</v>
      </c>
      <c r="UF17" s="90">
        <f t="shared" si="322"/>
        <v>8284.3559999999979</v>
      </c>
      <c r="UG17" s="91">
        <f t="shared" si="323"/>
        <v>0</v>
      </c>
      <c r="UH17" s="95">
        <f t="shared" si="324"/>
        <v>37.455501670860087</v>
      </c>
      <c r="UI17" s="95">
        <f t="shared" si="325"/>
        <v>8284.3559999999979</v>
      </c>
      <c r="UJ17" s="101">
        <f t="shared" si="326"/>
        <v>0</v>
      </c>
      <c r="UK17" s="101">
        <f t="shared" si="327"/>
        <v>37.455501670860087</v>
      </c>
      <c r="UL17" s="90" t="e">
        <f>(#REF!+#REF!+HZ17+LT17+LZ17+MF17+ML17+QL17+QN17+SN17+TC17+TM17+UC17)/I17</f>
        <v>#REF!</v>
      </c>
      <c r="UN17" s="90" t="e">
        <f>#REF!/I17</f>
        <v>#REF!</v>
      </c>
      <c r="UO17" s="90" t="e">
        <f>#REF!/I17</f>
        <v>#REF!</v>
      </c>
      <c r="UP17" s="90">
        <v>1.1499999999999999</v>
      </c>
      <c r="UQ17" s="90" t="e">
        <f t="shared" si="328"/>
        <v>#REF!</v>
      </c>
      <c r="UR17" s="90">
        <f t="shared" si="329"/>
        <v>5762.4500000000016</v>
      </c>
      <c r="US17" s="90">
        <f t="shared" si="330"/>
        <v>6824.9933333333329</v>
      </c>
      <c r="UT17" s="90">
        <f t="shared" si="331"/>
        <v>6824.9933333333329</v>
      </c>
      <c r="UU17" s="90">
        <f t="shared" si="516"/>
        <v>7086.3633333333328</v>
      </c>
      <c r="UV17" s="90">
        <f t="shared" si="333"/>
        <v>6983.3266666666659</v>
      </c>
      <c r="UW17" s="90">
        <f t="shared" si="334"/>
        <v>5.86</v>
      </c>
      <c r="UX17" s="90">
        <f t="shared" si="335"/>
        <v>3.92</v>
      </c>
      <c r="UY17" s="90">
        <f t="shared" si="336"/>
        <v>3.8019183386131647</v>
      </c>
      <c r="UZ17" s="100">
        <f t="shared" si="337"/>
        <v>3.5511983070000004</v>
      </c>
      <c r="VA17" s="90">
        <f t="shared" si="338"/>
        <v>0.61</v>
      </c>
      <c r="VB17" s="90">
        <f t="shared" si="339"/>
        <v>1.33</v>
      </c>
      <c r="VC17" s="90">
        <f t="shared" si="340"/>
        <v>0</v>
      </c>
      <c r="VD17" s="90">
        <f t="shared" si="341"/>
        <v>0</v>
      </c>
      <c r="VE17" s="90">
        <f t="shared" si="342"/>
        <v>0</v>
      </c>
      <c r="VF17" s="90">
        <f t="shared" si="343"/>
        <v>0</v>
      </c>
      <c r="VG17" s="90">
        <f t="shared" si="344"/>
        <v>0</v>
      </c>
      <c r="VH17" s="90">
        <f t="shared" si="345"/>
        <v>0</v>
      </c>
      <c r="VI17" s="90">
        <f t="shared" si="346"/>
        <v>0</v>
      </c>
      <c r="VJ17" s="90">
        <f t="shared" si="347"/>
        <v>0</v>
      </c>
      <c r="VK17" s="90">
        <f t="shared" si="348"/>
        <v>0.9</v>
      </c>
      <c r="VL17" s="90">
        <f t="shared" si="349"/>
        <v>3.64</v>
      </c>
      <c r="VM17" s="90">
        <f t="shared" si="350"/>
        <v>6.44</v>
      </c>
      <c r="VN17" s="90">
        <f t="shared" si="351"/>
        <v>0</v>
      </c>
      <c r="VO17" s="90">
        <f t="shared" si="352"/>
        <v>6.44</v>
      </c>
      <c r="VP17" s="97">
        <v>0</v>
      </c>
      <c r="VQ17" s="97">
        <v>6.44</v>
      </c>
      <c r="VR17" s="90">
        <f t="shared" si="353"/>
        <v>0.48</v>
      </c>
      <c r="VS17" s="90">
        <f t="shared" si="354"/>
        <v>0.17</v>
      </c>
      <c r="VT17" s="90">
        <v>0.11989898989898991</v>
      </c>
      <c r="VU17" s="90">
        <f t="shared" si="355"/>
        <v>0.16589999999999999</v>
      </c>
      <c r="VV17" s="90">
        <v>0.38175323599898991</v>
      </c>
      <c r="VW17" s="90">
        <f t="shared" si="356"/>
        <v>0.65</v>
      </c>
      <c r="VX17" s="90">
        <f t="shared" si="357"/>
        <v>16.59</v>
      </c>
      <c r="VY17" s="90">
        <f t="shared" si="358"/>
        <v>16.59</v>
      </c>
      <c r="VZ17" s="90">
        <f t="shared" si="359"/>
        <v>0</v>
      </c>
      <c r="WA17" s="90"/>
      <c r="WB17" s="90">
        <f t="shared" si="360"/>
        <v>16.59</v>
      </c>
      <c r="WC17" s="90">
        <f t="shared" si="361"/>
        <v>0</v>
      </c>
      <c r="WD17" s="90"/>
      <c r="WE17" s="90">
        <v>16.59</v>
      </c>
      <c r="WF17" s="90"/>
      <c r="WG17" s="90">
        <f t="shared" si="362"/>
        <v>9426.4379999999983</v>
      </c>
      <c r="WH17" s="90">
        <f t="shared" si="363"/>
        <v>9426.4379999999983</v>
      </c>
      <c r="WI17" s="90">
        <f t="shared" si="364"/>
        <v>9421.66</v>
      </c>
      <c r="WJ17" s="90">
        <f t="shared" si="365"/>
        <v>5762.4500000000016</v>
      </c>
      <c r="WK17" s="97">
        <v>3659.21</v>
      </c>
      <c r="WL17" s="97">
        <v>6.44</v>
      </c>
      <c r="WM17" s="90">
        <f t="shared" si="366"/>
        <v>3659.21</v>
      </c>
      <c r="WN17" s="90">
        <f t="shared" si="367"/>
        <v>6.44</v>
      </c>
      <c r="WO17" s="90"/>
      <c r="WP17" s="97">
        <v>16.59</v>
      </c>
      <c r="WQ17" s="90">
        <f t="shared" si="368"/>
        <v>16.59</v>
      </c>
      <c r="WR17" s="91">
        <f t="shared" si="369"/>
        <v>113.78600823045268</v>
      </c>
      <c r="WS17" s="91">
        <f t="shared" si="370"/>
        <v>147.07446808510639</v>
      </c>
      <c r="WT17" s="90">
        <f t="shared" si="371"/>
        <v>9426.44</v>
      </c>
      <c r="WU17" s="90">
        <f t="shared" si="372"/>
        <v>9421.66</v>
      </c>
      <c r="WV17" s="90">
        <f t="shared" si="373"/>
        <v>4.7800000000006548</v>
      </c>
      <c r="WW17" s="90">
        <v>3.3</v>
      </c>
      <c r="WX17" s="90"/>
      <c r="WY17" s="90"/>
      <c r="WZ17" s="90">
        <f t="shared" si="374"/>
        <v>5.2920434343434346</v>
      </c>
      <c r="XA17" s="90">
        <v>0</v>
      </c>
      <c r="XB17" s="90">
        <f t="shared" si="375"/>
        <v>5.2920434343434346</v>
      </c>
      <c r="XC17" s="90">
        <f t="shared" si="376"/>
        <v>0.46229999999999999</v>
      </c>
      <c r="XD17" s="90">
        <f t="shared" si="377"/>
        <v>0.15565656565656566</v>
      </c>
      <c r="XE17" s="90"/>
      <c r="XF17" s="90">
        <f t="shared" si="378"/>
        <v>15.41</v>
      </c>
      <c r="XG17" s="90">
        <v>5.5339794086589205</v>
      </c>
      <c r="XH17" s="20">
        <v>14.579999999999998</v>
      </c>
      <c r="XI17" s="20">
        <v>0</v>
      </c>
      <c r="XJ17" s="20"/>
      <c r="XK17" s="20"/>
      <c r="XL17" s="20"/>
      <c r="XM17" s="20">
        <f t="shared" si="379"/>
        <v>14.579999999999998</v>
      </c>
      <c r="XN17" s="91">
        <f t="shared" si="380"/>
        <v>113.78600823045268</v>
      </c>
      <c r="XO17" s="20">
        <f t="shared" si="381"/>
        <v>14.579999999999998</v>
      </c>
      <c r="XP17" s="90">
        <f t="shared" si="382"/>
        <v>11.279999999999998</v>
      </c>
      <c r="XQ17" s="91">
        <f t="shared" si="383"/>
        <v>113.78600823045268</v>
      </c>
      <c r="XR17" s="102"/>
      <c r="XS17" s="90">
        <f t="shared" si="384"/>
        <v>3.64</v>
      </c>
      <c r="XT17" s="90">
        <f t="shared" si="385"/>
        <v>5.86</v>
      </c>
      <c r="XU17" s="90">
        <f t="shared" si="386"/>
        <v>3.92</v>
      </c>
      <c r="XV17" s="90">
        <f t="shared" si="387"/>
        <v>0.61</v>
      </c>
      <c r="XW17" s="90">
        <f t="shared" si="388"/>
        <v>0.61</v>
      </c>
      <c r="XX17" s="90">
        <f t="shared" si="389"/>
        <v>0</v>
      </c>
      <c r="XY17" s="90">
        <f t="shared" si="390"/>
        <v>1.33</v>
      </c>
      <c r="XZ17" s="90">
        <f t="shared" si="391"/>
        <v>0</v>
      </c>
      <c r="YA17" s="90">
        <f t="shared" si="392"/>
        <v>0</v>
      </c>
      <c r="YB17" s="90">
        <f t="shared" si="393"/>
        <v>0</v>
      </c>
      <c r="YC17" s="90">
        <f t="shared" si="393"/>
        <v>0</v>
      </c>
      <c r="YD17" s="90">
        <f t="shared" si="394"/>
        <v>1.33</v>
      </c>
      <c r="YE17" s="90">
        <f t="shared" si="395"/>
        <v>6.44</v>
      </c>
      <c r="YF17" s="90">
        <f t="shared" si="396"/>
        <v>0.65</v>
      </c>
      <c r="YG17" s="90">
        <f t="shared" si="397"/>
        <v>16.59</v>
      </c>
      <c r="YI17" s="103" t="s">
        <v>462</v>
      </c>
      <c r="YK17" s="90">
        <f t="shared" si="398"/>
        <v>1.07</v>
      </c>
      <c r="YL17" s="90">
        <f t="shared" si="399"/>
        <v>0.61</v>
      </c>
      <c r="YM17" s="90">
        <f t="shared" si="399"/>
        <v>1.33</v>
      </c>
      <c r="YN17" s="90">
        <f t="shared" si="400"/>
        <v>3.64</v>
      </c>
      <c r="YO17" s="90">
        <f t="shared" si="401"/>
        <v>9.94</v>
      </c>
      <c r="YP17" s="90">
        <f t="shared" si="402"/>
        <v>0</v>
      </c>
      <c r="YQ17" s="90">
        <f t="shared" si="403"/>
        <v>16.59</v>
      </c>
      <c r="YR17" s="90">
        <f t="shared" si="404"/>
        <v>0</v>
      </c>
      <c r="YS17" s="104">
        <f t="shared" si="405"/>
        <v>16.59</v>
      </c>
      <c r="YT17" s="104">
        <f t="shared" si="406"/>
        <v>0</v>
      </c>
      <c r="YY17" s="90">
        <f t="shared" si="407"/>
        <v>7.1999999999999993</v>
      </c>
      <c r="YZ17" s="90">
        <f t="shared" si="408"/>
        <v>4.18</v>
      </c>
      <c r="ZA17" s="90">
        <f t="shared" si="409"/>
        <v>0.54</v>
      </c>
      <c r="ZB17" s="90">
        <f t="shared" si="410"/>
        <v>2.48</v>
      </c>
      <c r="ZC17" s="90">
        <f t="shared" si="411"/>
        <v>0</v>
      </c>
      <c r="ZD17" s="90">
        <f t="shared" si="412"/>
        <v>0</v>
      </c>
      <c r="ZE17" s="90">
        <f t="shared" si="413"/>
        <v>0</v>
      </c>
      <c r="ZF17" s="90">
        <f t="shared" si="414"/>
        <v>0</v>
      </c>
      <c r="ZG17" s="90">
        <f t="shared" si="415"/>
        <v>0</v>
      </c>
      <c r="ZH17" s="90">
        <f t="shared" si="416"/>
        <v>0</v>
      </c>
      <c r="ZI17" s="90">
        <f t="shared" si="417"/>
        <v>0</v>
      </c>
      <c r="ZJ17" s="90">
        <f t="shared" si="418"/>
        <v>0</v>
      </c>
      <c r="ZK17" s="90">
        <f t="shared" si="419"/>
        <v>0</v>
      </c>
      <c r="ZL17" s="90">
        <f t="shared" si="420"/>
        <v>0.02</v>
      </c>
      <c r="ZM17" s="90">
        <f t="shared" si="421"/>
        <v>4.1100000000000003</v>
      </c>
      <c r="ZN17" s="90">
        <f t="shared" si="422"/>
        <v>7.92</v>
      </c>
      <c r="ZO17" s="90">
        <f t="shared" si="423"/>
        <v>7.77</v>
      </c>
      <c r="ZP17" s="90">
        <f t="shared" si="424"/>
        <v>5.44</v>
      </c>
      <c r="ZQ17" s="90">
        <f t="shared" si="425"/>
        <v>0</v>
      </c>
      <c r="ZR17" s="90">
        <f t="shared" si="426"/>
        <v>5.44</v>
      </c>
      <c r="ZS17" s="97">
        <v>227</v>
      </c>
      <c r="ZT17" s="97">
        <v>230.38</v>
      </c>
      <c r="ZU17" s="90">
        <f t="shared" si="427"/>
        <v>0.52</v>
      </c>
      <c r="ZV17" s="90">
        <f t="shared" si="428"/>
        <v>0.18</v>
      </c>
      <c r="ZW17" s="90">
        <v>0.11989898989898991</v>
      </c>
      <c r="ZX17" s="90">
        <f t="shared" si="429"/>
        <v>0.17449999999999999</v>
      </c>
      <c r="ZY17" s="90">
        <v>0.38175323599898991</v>
      </c>
      <c r="ZZ17" s="90">
        <f t="shared" si="430"/>
        <v>0.7</v>
      </c>
      <c r="AAA17" s="90">
        <f t="shared" si="431"/>
        <v>17.45</v>
      </c>
      <c r="AAB17" s="90">
        <f t="shared" si="432"/>
        <v>17.45</v>
      </c>
      <c r="AAC17" s="90">
        <f t="shared" si="433"/>
        <v>0</v>
      </c>
      <c r="AAD17" s="90"/>
      <c r="AAE17" s="90">
        <f t="shared" si="434"/>
        <v>17.45</v>
      </c>
      <c r="AAF17" s="90">
        <v>16.59</v>
      </c>
      <c r="AAG17" s="90">
        <f t="shared" si="435"/>
        <v>105.18384569017481</v>
      </c>
      <c r="AAH17" s="90">
        <f t="shared" si="436"/>
        <v>0</v>
      </c>
      <c r="AAI17" s="90">
        <v>0</v>
      </c>
      <c r="AAJ17" s="90"/>
      <c r="AAK17" s="1">
        <v>17.43</v>
      </c>
      <c r="AAL17" s="104">
        <f t="shared" si="437"/>
        <v>1.9999999999999574E-2</v>
      </c>
      <c r="AAM17" s="103" t="s">
        <v>466</v>
      </c>
      <c r="AAN17" s="105">
        <v>7.41</v>
      </c>
      <c r="AAO17" s="90">
        <f t="shared" si="438"/>
        <v>7.94</v>
      </c>
      <c r="AAP17" s="90">
        <v>4.21</v>
      </c>
      <c r="AAQ17" s="90">
        <f t="shared" si="439"/>
        <v>4.18</v>
      </c>
      <c r="AAR17" s="90">
        <v>0.54</v>
      </c>
      <c r="AAS17" s="90">
        <f t="shared" si="440"/>
        <v>0.82</v>
      </c>
      <c r="AAT17" s="90">
        <f t="shared" si="441"/>
        <v>151.85185185185185</v>
      </c>
      <c r="AAU17" s="90">
        <v>2.66</v>
      </c>
      <c r="AAV17" s="90">
        <f t="shared" si="442"/>
        <v>2.48</v>
      </c>
      <c r="AAW17" s="90">
        <f t="shared" si="443"/>
        <v>93.233082706766908</v>
      </c>
      <c r="AAX17" s="90">
        <f t="shared" si="444"/>
        <v>0.46</v>
      </c>
      <c r="AAY17" s="90">
        <f t="shared" si="445"/>
        <v>0</v>
      </c>
      <c r="AAZ17" s="90">
        <f t="shared" si="446"/>
        <v>0</v>
      </c>
      <c r="ABA17" s="90">
        <f t="shared" si="447"/>
        <v>0</v>
      </c>
      <c r="ABB17" s="90">
        <f t="shared" si="448"/>
        <v>0</v>
      </c>
      <c r="ABC17" s="90">
        <v>0</v>
      </c>
      <c r="ABD17" s="90">
        <f t="shared" si="449"/>
        <v>0</v>
      </c>
      <c r="ABE17" s="90"/>
      <c r="ABF17" s="90">
        <v>0</v>
      </c>
      <c r="ABG17" s="90">
        <f t="shared" si="450"/>
        <v>0</v>
      </c>
      <c r="ABH17" s="90"/>
      <c r="ABI17" s="90">
        <f t="shared" si="451"/>
        <v>0</v>
      </c>
      <c r="ABJ17" s="90">
        <f t="shared" si="452"/>
        <v>0</v>
      </c>
      <c r="ABK17" s="90">
        <v>0</v>
      </c>
      <c r="ABL17" s="90">
        <f t="shared" si="453"/>
        <v>0</v>
      </c>
      <c r="ABM17" s="90">
        <f t="shared" si="454"/>
        <v>0</v>
      </c>
      <c r="ABN17" s="90">
        <f t="shared" si="455"/>
        <v>0.02</v>
      </c>
      <c r="ABO17" s="90">
        <v>3.91</v>
      </c>
      <c r="ABP17" s="90">
        <f t="shared" si="456"/>
        <v>4.1100000000000003</v>
      </c>
      <c r="ABQ17" s="90">
        <f t="shared" si="457"/>
        <v>105.1150895140665</v>
      </c>
      <c r="ABR17" s="90">
        <f t="shared" si="458"/>
        <v>7.92</v>
      </c>
      <c r="ABS17" s="90">
        <f t="shared" si="459"/>
        <v>7.77</v>
      </c>
      <c r="ABT17" s="90">
        <v>5.44</v>
      </c>
      <c r="ABU17" s="90">
        <f t="shared" si="460"/>
        <v>5.44</v>
      </c>
      <c r="ABV17" s="90">
        <f t="shared" si="461"/>
        <v>100</v>
      </c>
      <c r="ABW17" s="90">
        <f t="shared" si="462"/>
        <v>0</v>
      </c>
      <c r="ABX17" s="90">
        <f t="shared" si="463"/>
        <v>5.44</v>
      </c>
      <c r="ABY17" s="97">
        <v>227</v>
      </c>
      <c r="ABZ17" s="97">
        <v>230.38</v>
      </c>
      <c r="ACA17" s="90">
        <f t="shared" si="464"/>
        <v>0.52</v>
      </c>
      <c r="ACB17" s="90">
        <f t="shared" si="465"/>
        <v>0.18</v>
      </c>
      <c r="ACC17" s="90">
        <v>0.11989898989898991</v>
      </c>
      <c r="ACD17" s="90">
        <f t="shared" si="466"/>
        <v>0.17730000000000001</v>
      </c>
      <c r="ACE17" s="90">
        <v>0.38175323599898991</v>
      </c>
      <c r="ACF17" s="90">
        <v>0.67</v>
      </c>
      <c r="ACG17" s="90">
        <f t="shared" si="467"/>
        <v>0.7</v>
      </c>
      <c r="ACH17" s="90">
        <f t="shared" si="468"/>
        <v>104.4776119402985</v>
      </c>
      <c r="ACI17" s="90">
        <f t="shared" si="469"/>
        <v>18.190000000000001</v>
      </c>
      <c r="ACJ17" s="90">
        <f t="shared" si="470"/>
        <v>17.73</v>
      </c>
      <c r="ACK17" s="90">
        <f t="shared" si="471"/>
        <v>-0.46000000000000085</v>
      </c>
      <c r="ACL17" s="90"/>
      <c r="ACM17" s="90">
        <f t="shared" si="472"/>
        <v>18.190000000000001</v>
      </c>
      <c r="ACN17" s="90">
        <f t="shared" si="473"/>
        <v>0</v>
      </c>
      <c r="ACO17" s="90">
        <f t="shared" si="474"/>
        <v>18.190000000000001</v>
      </c>
      <c r="ACP17" s="90">
        <v>17.430000000000003</v>
      </c>
      <c r="ACQ17" s="90">
        <f t="shared" si="475"/>
        <v>104.36029833620194</v>
      </c>
      <c r="ACR17" s="90">
        <f t="shared" si="476"/>
        <v>0</v>
      </c>
      <c r="ACS17" s="90">
        <v>0</v>
      </c>
      <c r="ACT17" s="90"/>
      <c r="ACU17" s="90">
        <f t="shared" si="477"/>
        <v>18.318930000000002</v>
      </c>
      <c r="ACV17" s="90">
        <f t="shared" si="478"/>
        <v>0.12893000000000043</v>
      </c>
      <c r="ACX17" s="106" t="s">
        <v>467</v>
      </c>
      <c r="ACY17" s="107">
        <f>65000</f>
        <v>65000</v>
      </c>
      <c r="ACZ17" s="107">
        <f>65000+80000</f>
        <v>145000</v>
      </c>
      <c r="ADB17" s="90">
        <f t="shared" si="479"/>
        <v>4.1100000000000003</v>
      </c>
      <c r="ADC17" s="90">
        <f t="shared" si="480"/>
        <v>7.9399999999999995</v>
      </c>
      <c r="ADD17" s="90">
        <f t="shared" si="481"/>
        <v>4.18</v>
      </c>
      <c r="ADE17" s="90">
        <f t="shared" si="517"/>
        <v>1.28</v>
      </c>
      <c r="ADF17" s="90">
        <f t="shared" si="483"/>
        <v>0.82</v>
      </c>
      <c r="ADG17" s="90">
        <f t="shared" si="484"/>
        <v>0.46</v>
      </c>
      <c r="ADH17" s="90">
        <f t="shared" si="484"/>
        <v>0</v>
      </c>
      <c r="ADI17" s="90">
        <f t="shared" si="484"/>
        <v>0</v>
      </c>
      <c r="ADJ17" s="90">
        <f t="shared" si="485"/>
        <v>2.48</v>
      </c>
      <c r="ADK17" s="90">
        <f t="shared" si="486"/>
        <v>0</v>
      </c>
      <c r="ADL17" s="90">
        <f t="shared" si="487"/>
        <v>0</v>
      </c>
      <c r="ADM17" s="90">
        <f t="shared" si="488"/>
        <v>0</v>
      </c>
      <c r="ADN17" s="90">
        <f t="shared" si="488"/>
        <v>0</v>
      </c>
      <c r="ADO17" s="90">
        <f t="shared" si="489"/>
        <v>2.48</v>
      </c>
      <c r="ADP17" s="90">
        <f t="shared" si="490"/>
        <v>5.44</v>
      </c>
      <c r="ADQ17" s="90">
        <f t="shared" si="491"/>
        <v>0.7</v>
      </c>
      <c r="ADR17" s="90">
        <f t="shared" si="492"/>
        <v>18.190000000000001</v>
      </c>
      <c r="ADU17" s="90">
        <f t="shared" si="493"/>
        <v>1.1499999999999999</v>
      </c>
      <c r="ADV17" s="90">
        <f t="shared" si="494"/>
        <v>0.82</v>
      </c>
      <c r="ADW17" s="90">
        <f t="shared" si="495"/>
        <v>2.48</v>
      </c>
      <c r="ADX17" s="90">
        <f t="shared" si="496"/>
        <v>4.1100000000000003</v>
      </c>
      <c r="ADY17" s="90">
        <f t="shared" si="497"/>
        <v>9.17</v>
      </c>
      <c r="ADZ17" s="90">
        <f t="shared" si="498"/>
        <v>0</v>
      </c>
      <c r="AEA17" s="90">
        <f t="shared" si="499"/>
        <v>18.190000000000001</v>
      </c>
      <c r="AEB17" s="90">
        <f t="shared" si="500"/>
        <v>0</v>
      </c>
      <c r="AEC17" s="104">
        <f t="shared" si="501"/>
        <v>17.729999999999997</v>
      </c>
      <c r="AED17" s="104">
        <f t="shared" si="502"/>
        <v>0.46000000000000441</v>
      </c>
      <c r="AEG17" s="1">
        <v>7.41</v>
      </c>
      <c r="AEH17" s="1">
        <v>4.21</v>
      </c>
      <c r="AEI17" s="1">
        <v>0.54</v>
      </c>
      <c r="AEJ17" s="1">
        <v>2.66</v>
      </c>
      <c r="AEK17" s="1">
        <v>0</v>
      </c>
      <c r="AEL17" s="1">
        <v>0</v>
      </c>
      <c r="AEM17" s="1">
        <v>0</v>
      </c>
      <c r="AEN17" s="1">
        <v>0</v>
      </c>
      <c r="AEO17" s="1">
        <v>0</v>
      </c>
      <c r="AEP17" s="1">
        <v>0</v>
      </c>
      <c r="AEQ17" s="1">
        <v>0</v>
      </c>
      <c r="AER17" s="1">
        <v>0</v>
      </c>
      <c r="AES17" s="1">
        <v>0</v>
      </c>
      <c r="AET17" s="1">
        <v>0</v>
      </c>
      <c r="AEU17" s="1">
        <v>0</v>
      </c>
      <c r="AEV17" s="1">
        <v>0.02</v>
      </c>
      <c r="AEW17" s="1">
        <v>3.91</v>
      </c>
      <c r="AEX17" s="1">
        <v>8.1000000000000014</v>
      </c>
      <c r="AEY17" s="1">
        <v>7.77</v>
      </c>
      <c r="AEZ17" s="1">
        <v>5.44</v>
      </c>
      <c r="AFA17" s="1">
        <v>0</v>
      </c>
      <c r="AFB17" s="1">
        <v>5.44</v>
      </c>
      <c r="AFC17" s="1">
        <v>227</v>
      </c>
      <c r="AFD17" s="1">
        <v>230.38</v>
      </c>
      <c r="AFE17" s="1">
        <v>0.5</v>
      </c>
      <c r="AFF17" s="1">
        <v>0.17</v>
      </c>
      <c r="AFG17" s="1">
        <v>0.11989898989898991</v>
      </c>
      <c r="AFH17" s="1">
        <v>0.17430000000000004</v>
      </c>
      <c r="AFI17" s="1">
        <v>0.38175323599898991</v>
      </c>
      <c r="AFJ17" s="1">
        <v>0.67</v>
      </c>
      <c r="AFK17" s="1">
        <v>17.430000000000003</v>
      </c>
      <c r="AFL17" s="1">
        <v>17.430000000000003</v>
      </c>
      <c r="AFM17" s="1">
        <v>0</v>
      </c>
      <c r="AFO17" s="1">
        <v>17.430000000000003</v>
      </c>
      <c r="AFP17" s="1">
        <v>0</v>
      </c>
      <c r="AFQ17" s="1">
        <v>17.43</v>
      </c>
      <c r="AFX17" s="1">
        <v>17.940000000000001</v>
      </c>
    </row>
    <row r="18" spans="1:856" s="1" customFormat="1" ht="63.75" customHeight="1">
      <c r="A18" s="88">
        <v>10</v>
      </c>
      <c r="B18" s="20"/>
      <c r="C18" s="89" t="s">
        <v>468</v>
      </c>
      <c r="D18" s="20"/>
      <c r="E18" s="20" t="s">
        <v>437</v>
      </c>
      <c r="F18" s="20" t="s">
        <v>438</v>
      </c>
      <c r="G18" s="20">
        <v>0.8</v>
      </c>
      <c r="H18" s="20">
        <v>959</v>
      </c>
      <c r="I18" s="20">
        <f>959-2-1.1+4</f>
        <v>959.9</v>
      </c>
      <c r="J18" s="20">
        <f t="shared" si="0"/>
        <v>767.92000000000007</v>
      </c>
      <c r="K18" s="20">
        <v>18</v>
      </c>
      <c r="L18" s="20">
        <v>45</v>
      </c>
      <c r="M18" s="20">
        <v>47</v>
      </c>
      <c r="N18" s="20">
        <v>1159.18</v>
      </c>
      <c r="O18" s="90">
        <f t="shared" si="1"/>
        <v>1.21</v>
      </c>
      <c r="P18" s="20">
        <v>3456</v>
      </c>
      <c r="Q18" s="90">
        <f>P18/12</f>
        <v>288</v>
      </c>
      <c r="R18" s="90">
        <f t="shared" si="2"/>
        <v>0.3</v>
      </c>
      <c r="S18" s="20">
        <v>84.6</v>
      </c>
      <c r="T18" s="20">
        <v>2.6</v>
      </c>
      <c r="U18" s="20">
        <v>3.13</v>
      </c>
      <c r="V18" s="91">
        <f t="shared" si="3"/>
        <v>688.47</v>
      </c>
      <c r="W18" s="20">
        <v>2.1000000000000001E-2</v>
      </c>
      <c r="X18" s="20">
        <f t="shared" si="4"/>
        <v>33.42</v>
      </c>
      <c r="Y18" s="91">
        <f t="shared" si="5"/>
        <v>59.37</v>
      </c>
      <c r="Z18" s="20"/>
      <c r="AA18" s="20"/>
      <c r="AB18" s="20"/>
      <c r="AC18" s="91">
        <f t="shared" si="6"/>
        <v>747.85</v>
      </c>
      <c r="AD18" s="90">
        <f t="shared" si="7"/>
        <v>0.78</v>
      </c>
      <c r="AE18" s="92">
        <f t="shared" si="8"/>
        <v>8974.2000000000007</v>
      </c>
      <c r="AF18" s="20">
        <v>47</v>
      </c>
      <c r="AG18" s="20">
        <v>46</v>
      </c>
      <c r="AH18" s="20">
        <v>46</v>
      </c>
      <c r="AI18" s="20">
        <v>43</v>
      </c>
      <c r="AJ18" s="20">
        <v>1.6</v>
      </c>
      <c r="AK18" s="90">
        <f t="shared" si="9"/>
        <v>6.13</v>
      </c>
      <c r="AL18" s="90">
        <v>391.01</v>
      </c>
      <c r="AM18" s="90">
        <f t="shared" si="10"/>
        <v>2396.89</v>
      </c>
      <c r="AN18" s="20">
        <v>45</v>
      </c>
      <c r="AO18" s="20">
        <v>43</v>
      </c>
      <c r="AP18" s="20">
        <v>47</v>
      </c>
      <c r="AQ18" s="20">
        <v>45</v>
      </c>
      <c r="AR18" s="20">
        <v>43</v>
      </c>
      <c r="AS18" s="20">
        <v>44</v>
      </c>
      <c r="AT18" s="20">
        <f t="shared" si="11"/>
        <v>1</v>
      </c>
      <c r="AU18" s="20">
        <v>1.6</v>
      </c>
      <c r="AV18" s="90">
        <f t="shared" si="12"/>
        <v>6.27</v>
      </c>
      <c r="AW18" s="90">
        <f>ROUND((179.74*6+181.82*6)/12,2)</f>
        <v>180.78</v>
      </c>
      <c r="AX18" s="90">
        <v>1060.58</v>
      </c>
      <c r="AY18" s="90">
        <f t="shared" si="14"/>
        <v>1.1000000000000001</v>
      </c>
      <c r="AZ18" s="90">
        <f t="shared" si="15"/>
        <v>2450.33</v>
      </c>
      <c r="BA18" s="90">
        <f t="shared" si="16"/>
        <v>-1389.75</v>
      </c>
      <c r="BB18" s="90">
        <v>1060.58</v>
      </c>
      <c r="BC18" s="90">
        <v>1.1100000000000001</v>
      </c>
      <c r="BD18" s="92">
        <f t="shared" si="17"/>
        <v>12726.96</v>
      </c>
      <c r="BE18" s="90"/>
      <c r="BF18" s="90">
        <f t="shared" si="18"/>
        <v>0</v>
      </c>
      <c r="BG18" s="90">
        <v>391.01</v>
      </c>
      <c r="BH18" s="90">
        <f t="shared" si="19"/>
        <v>2451.63</v>
      </c>
      <c r="BI18" s="90">
        <f t="shared" si="20"/>
        <v>2.5499999999999998</v>
      </c>
      <c r="BJ18" s="90">
        <f t="shared" si="21"/>
        <v>231.81818181818178</v>
      </c>
      <c r="BK18" s="90">
        <f t="shared" si="22"/>
        <v>2451.63</v>
      </c>
      <c r="BL18" s="90">
        <f t="shared" si="23"/>
        <v>2.5499999999999998</v>
      </c>
      <c r="BM18" s="90"/>
      <c r="BN18" s="90">
        <f t="shared" si="24"/>
        <v>0</v>
      </c>
      <c r="BO18" s="90">
        <f t="shared" si="25"/>
        <v>2451.63</v>
      </c>
      <c r="BP18" s="90">
        <f t="shared" si="26"/>
        <v>2.5540472965933954</v>
      </c>
      <c r="BQ18" s="90"/>
      <c r="BR18" s="90">
        <f t="shared" si="27"/>
        <v>0</v>
      </c>
      <c r="BS18" s="90">
        <f t="shared" si="28"/>
        <v>2451.63</v>
      </c>
      <c r="BT18" s="90">
        <f t="shared" si="29"/>
        <v>2.5540472965933954</v>
      </c>
      <c r="BU18" s="90"/>
      <c r="BV18" s="93">
        <v>1.4356370000000001</v>
      </c>
      <c r="BW18" s="90">
        <f t="shared" si="30"/>
        <v>1378.0679563000001</v>
      </c>
      <c r="BX18" s="90">
        <f t="shared" si="31"/>
        <v>1460.7520336780001</v>
      </c>
      <c r="BY18" s="90"/>
      <c r="BZ18" s="90"/>
      <c r="CA18" s="90">
        <v>0.2651</v>
      </c>
      <c r="CB18" s="90">
        <f>$I18*CA18</f>
        <v>254.46949000000001</v>
      </c>
      <c r="CC18" s="90">
        <v>0.71072749999999996</v>
      </c>
      <c r="CD18" s="90">
        <f t="shared" si="33"/>
        <v>180.85846445397499</v>
      </c>
      <c r="CE18" s="90">
        <f t="shared" si="34"/>
        <v>273.47636407649935</v>
      </c>
      <c r="CF18" s="90">
        <v>265.8660664801597</v>
      </c>
      <c r="CG18" s="90">
        <v>265.8660664801597</v>
      </c>
      <c r="CH18" s="90">
        <f t="shared" si="35"/>
        <v>278.63</v>
      </c>
      <c r="CI18" s="90">
        <f>I18*0.305912206</f>
        <v>293.6451265394</v>
      </c>
      <c r="CJ18" s="90">
        <f t="shared" si="36"/>
        <v>293.95</v>
      </c>
      <c r="CK18" s="90">
        <f t="shared" si="37"/>
        <v>312.19015411906236</v>
      </c>
      <c r="CL18" s="90">
        <f t="shared" si="38"/>
        <v>312.19015411906236</v>
      </c>
      <c r="CM18" s="94">
        <v>0.14899999999999999</v>
      </c>
      <c r="CN18" s="90">
        <f t="shared" si="39"/>
        <v>205.3321254887</v>
      </c>
      <c r="CO18" s="90">
        <f t="shared" si="40"/>
        <v>217.652053018022</v>
      </c>
      <c r="CP18" s="90"/>
      <c r="CQ18" s="90">
        <v>3.9539251999999997E-2</v>
      </c>
      <c r="CR18" s="90">
        <f>$I18*CQ18</f>
        <v>37.953727994799998</v>
      </c>
      <c r="CS18" s="90">
        <v>0.71072749999999996</v>
      </c>
      <c r="CT18" s="90">
        <f t="shared" si="42"/>
        <v>26.974758213424213</v>
      </c>
      <c r="CU18" s="90">
        <f t="shared" si="43"/>
        <v>40.788573652449841</v>
      </c>
      <c r="CV18" s="90">
        <v>82.153471270853714</v>
      </c>
      <c r="CW18" s="90">
        <f t="shared" si="44"/>
        <v>86.1</v>
      </c>
      <c r="CX18" s="90">
        <f>I18*0.094530528</f>
        <v>90.739853827199994</v>
      </c>
      <c r="CY18" s="90">
        <f t="shared" si="45"/>
        <v>90.84</v>
      </c>
      <c r="CZ18" s="90">
        <f t="shared" si="46"/>
        <v>96.470489004535949</v>
      </c>
      <c r="DA18" s="90">
        <f t="shared" si="47"/>
        <v>96.470489004535949</v>
      </c>
      <c r="DB18" s="93">
        <v>1.4169099999999999</v>
      </c>
      <c r="DC18" s="90">
        <f t="shared" si="48"/>
        <v>1360.0919089999998</v>
      </c>
      <c r="DD18" s="90">
        <f t="shared" si="49"/>
        <v>1441.6974235399998</v>
      </c>
      <c r="DE18" s="90"/>
      <c r="DF18" s="90"/>
      <c r="DG18" s="90">
        <v>0.16261500000000001</v>
      </c>
      <c r="DH18" s="90">
        <f>$I18*DG18</f>
        <v>156.09413850000001</v>
      </c>
      <c r="DI18" s="90">
        <v>0.71072749999999996</v>
      </c>
      <c r="DJ18" s="90">
        <f t="shared" si="51"/>
        <v>110.94039682075875</v>
      </c>
      <c r="DK18" s="90">
        <f t="shared" si="52"/>
        <v>167.75314577253843</v>
      </c>
      <c r="DL18" s="90">
        <v>132.15501644079885</v>
      </c>
      <c r="DM18" s="90">
        <f t="shared" si="53"/>
        <v>138.5</v>
      </c>
      <c r="DN18" s="90">
        <f>I18*0.152061302</f>
        <v>145.96364378980002</v>
      </c>
      <c r="DO18" s="90">
        <f t="shared" si="54"/>
        <v>146.12</v>
      </c>
      <c r="DP18" s="90">
        <f t="shared" si="55"/>
        <v>155.18191290126322</v>
      </c>
      <c r="DQ18" s="90">
        <f t="shared" si="56"/>
        <v>155.18191290126322</v>
      </c>
      <c r="DR18" s="93">
        <v>5.6880149999999997E-2</v>
      </c>
      <c r="DS18" s="90">
        <f t="shared" si="57"/>
        <v>54.599255984999999</v>
      </c>
      <c r="DT18" s="90">
        <f t="shared" si="58"/>
        <v>57.875211344100002</v>
      </c>
      <c r="DU18" s="90"/>
      <c r="DV18" s="90">
        <v>6.1506E-3</v>
      </c>
      <c r="DW18" s="90">
        <f>$I18*DV18</f>
        <v>5.9039609400000002</v>
      </c>
      <c r="DX18" s="90">
        <v>0.71072749999999996</v>
      </c>
      <c r="DY18" s="90">
        <f t="shared" si="60"/>
        <v>4.19610739898385</v>
      </c>
      <c r="DZ18" s="90">
        <f t="shared" si="61"/>
        <v>6.3449404937341258</v>
      </c>
      <c r="EA18" s="90">
        <f t="shared" si="62"/>
        <v>6.65</v>
      </c>
      <c r="EB18" s="90">
        <f>I18*0.007268201</f>
        <v>6.9767461399000004</v>
      </c>
      <c r="EC18" s="90">
        <f t="shared" si="63"/>
        <v>7.02</v>
      </c>
      <c r="ED18" s="90">
        <f t="shared" si="64"/>
        <v>7.4173594444882109</v>
      </c>
      <c r="EE18" s="90">
        <f t="shared" si="65"/>
        <v>7.4173594444882109</v>
      </c>
      <c r="EF18" s="94">
        <v>0.85293354333000004</v>
      </c>
      <c r="EG18" s="90">
        <f t="shared" si="66"/>
        <v>654.98472659397373</v>
      </c>
      <c r="EH18" s="90">
        <f t="shared" si="67"/>
        <v>694.28381018961215</v>
      </c>
      <c r="EI18" s="90"/>
      <c r="EJ18" s="90">
        <v>0.58975</v>
      </c>
      <c r="EK18" s="90">
        <f t="shared" si="68"/>
        <v>452.88082000000003</v>
      </c>
      <c r="EL18" s="90">
        <v>0.71072749999999996</v>
      </c>
      <c r="EM18" s="90">
        <f t="shared" si="69"/>
        <v>321.87485299654998</v>
      </c>
      <c r="EN18" s="90">
        <f t="shared" si="70"/>
        <v>486.70746349035221</v>
      </c>
      <c r="EO18" s="90">
        <v>472.68084928444489</v>
      </c>
      <c r="EP18" s="90">
        <f t="shared" si="71"/>
        <v>495.37</v>
      </c>
      <c r="EQ18" s="90">
        <f>I18*0.54387442</f>
        <v>522.06505575799997</v>
      </c>
      <c r="ER18" s="90">
        <f t="shared" si="72"/>
        <v>522.62</v>
      </c>
      <c r="ES18" s="90">
        <f t="shared" si="73"/>
        <v>555.03584254240457</v>
      </c>
      <c r="ET18" s="90">
        <f t="shared" si="74"/>
        <v>555.03584254240457</v>
      </c>
      <c r="EU18" s="94">
        <v>0.14899999999999999</v>
      </c>
      <c r="EV18" s="90">
        <f t="shared" si="75"/>
        <v>97.592724262502088</v>
      </c>
      <c r="EW18" s="90">
        <f t="shared" si="76"/>
        <v>103.44828771825222</v>
      </c>
      <c r="EX18" s="90"/>
      <c r="EY18" s="90">
        <v>8.7870000000000004E-2</v>
      </c>
      <c r="EZ18" s="90">
        <f t="shared" si="77"/>
        <v>67.477130400000007</v>
      </c>
      <c r="FA18" s="90">
        <v>0.71072749999999996</v>
      </c>
      <c r="FB18" s="90">
        <f t="shared" si="78"/>
        <v>47.957852196366005</v>
      </c>
      <c r="FC18" s="90">
        <f t="shared" si="79"/>
        <v>72.517142546667671</v>
      </c>
      <c r="FD18" s="90">
        <v>146.16059809942462</v>
      </c>
      <c r="FE18" s="90">
        <f t="shared" si="80"/>
        <v>153.18</v>
      </c>
      <c r="FF18" s="90">
        <f>I18*0.168178702</f>
        <v>161.43473604980002</v>
      </c>
      <c r="FG18" s="90">
        <f t="shared" si="81"/>
        <v>161.6</v>
      </c>
      <c r="FH18" s="90">
        <f t="shared" si="82"/>
        <v>171.63007512333087</v>
      </c>
      <c r="FI18" s="90">
        <f t="shared" si="83"/>
        <v>171.63007512333087</v>
      </c>
      <c r="FJ18" s="93">
        <v>0.49981642240000002</v>
      </c>
      <c r="FK18" s="90">
        <f t="shared" si="84"/>
        <v>383.81902708940805</v>
      </c>
      <c r="FL18" s="90">
        <f t="shared" si="85"/>
        <v>406.84816871477256</v>
      </c>
      <c r="FM18" s="90"/>
      <c r="FN18" s="90">
        <v>0.35812500000000003</v>
      </c>
      <c r="FO18" s="90">
        <f t="shared" si="86"/>
        <v>275.01135000000005</v>
      </c>
      <c r="FP18" s="90">
        <v>0.71072749999999996</v>
      </c>
      <c r="FQ18" s="90">
        <f t="shared" si="87"/>
        <v>195.45812925712502</v>
      </c>
      <c r="FR18" s="90">
        <f t="shared" si="88"/>
        <v>295.55253982616773</v>
      </c>
      <c r="FS18" s="90">
        <v>232.01464729940923</v>
      </c>
      <c r="FT18" s="90">
        <f t="shared" si="89"/>
        <v>243.15</v>
      </c>
      <c r="FU18" s="90">
        <v>232.20866739993286</v>
      </c>
      <c r="FV18" s="90">
        <f t="shared" si="90"/>
        <v>243.35</v>
      </c>
      <c r="FW18" s="90">
        <f>I18*0.267177746</f>
        <v>256.46391838540001</v>
      </c>
      <c r="FX18" s="90">
        <f t="shared" si="91"/>
        <v>256.73</v>
      </c>
      <c r="FY18" s="90">
        <f t="shared" si="92"/>
        <v>272.66078327362885</v>
      </c>
      <c r="FZ18" s="90">
        <f t="shared" si="93"/>
        <v>272.66078327362885</v>
      </c>
      <c r="GA18" s="94">
        <v>1.352261642E-2</v>
      </c>
      <c r="GB18" s="90">
        <f t="shared" si="94"/>
        <v>10.384287601246401</v>
      </c>
      <c r="GC18" s="90">
        <f t="shared" si="95"/>
        <v>11.007344857321185</v>
      </c>
      <c r="GD18" s="90"/>
      <c r="GE18" s="90">
        <v>1.0749999999999999E-2</v>
      </c>
      <c r="GF18" s="90">
        <f t="shared" si="96"/>
        <v>8.2551400000000008</v>
      </c>
      <c r="GG18" s="90">
        <v>0.71072749999999996</v>
      </c>
      <c r="GH18" s="90">
        <f t="shared" si="97"/>
        <v>5.8671550143500006</v>
      </c>
      <c r="GI18" s="90">
        <f t="shared" si="98"/>
        <v>8.8717341797732718</v>
      </c>
      <c r="GJ18" s="90">
        <f t="shared" si="99"/>
        <v>9.3000000000000007</v>
      </c>
      <c r="GK18" s="90">
        <f>I18*0.010166698</f>
        <v>9.7590134101999997</v>
      </c>
      <c r="GL18" s="90">
        <f t="shared" si="100"/>
        <v>9.81</v>
      </c>
      <c r="GM18" s="90">
        <f t="shared" si="101"/>
        <v>10.375339568836827</v>
      </c>
      <c r="GN18" s="90">
        <f t="shared" si="102"/>
        <v>10.375339568836827</v>
      </c>
      <c r="GO18" s="90">
        <v>3628.8</v>
      </c>
      <c r="GP18" s="90">
        <f t="shared" si="103"/>
        <v>302.40000000000003</v>
      </c>
      <c r="GQ18" s="90">
        <f>2381.4+138.6</f>
        <v>2520</v>
      </c>
      <c r="GR18" s="90">
        <f t="shared" si="104"/>
        <v>210</v>
      </c>
      <c r="GS18" s="90">
        <f t="shared" si="105"/>
        <v>512.40000000000009</v>
      </c>
      <c r="GT18" s="90">
        <f t="shared" si="106"/>
        <v>0.53</v>
      </c>
      <c r="GU18" s="90">
        <v>3454.2</v>
      </c>
      <c r="GV18" s="90">
        <f>1881+110.2</f>
        <v>1991.2</v>
      </c>
      <c r="GW18" s="90">
        <f t="shared" si="107"/>
        <v>453.7833333333333</v>
      </c>
      <c r="GX18" s="90">
        <f t="shared" si="108"/>
        <v>0.47</v>
      </c>
      <c r="GY18" s="90">
        <v>6173.1</v>
      </c>
      <c r="GZ18" s="90">
        <f>2000.7+117.8</f>
        <v>2118.5</v>
      </c>
      <c r="HA18" s="90">
        <f t="shared" si="109"/>
        <v>690.9666666666667</v>
      </c>
      <c r="HB18" s="90">
        <f t="shared" si="110"/>
        <v>0.72</v>
      </c>
      <c r="HC18" s="90">
        <v>6173.1</v>
      </c>
      <c r="HD18" s="90">
        <f>2000.7+117.8</f>
        <v>2118.5</v>
      </c>
      <c r="HE18" s="90">
        <f t="shared" si="111"/>
        <v>690.9666666666667</v>
      </c>
      <c r="HF18" s="90">
        <f t="shared" si="112"/>
        <v>0.72</v>
      </c>
      <c r="HG18" s="90"/>
      <c r="HH18" s="90"/>
      <c r="HI18" s="90">
        <v>0.96</v>
      </c>
      <c r="HJ18" s="90">
        <f t="shared" si="113"/>
        <v>921.50399999999991</v>
      </c>
      <c r="HK18" s="90">
        <f t="shared" si="114"/>
        <v>1.0060839670799042</v>
      </c>
      <c r="HL18" s="90">
        <f t="shared" si="115"/>
        <v>965.74</v>
      </c>
      <c r="HM18" s="90">
        <v>1.07</v>
      </c>
      <c r="HN18" s="90">
        <f t="shared" si="116"/>
        <v>1027.0930000000001</v>
      </c>
      <c r="HO18" s="90">
        <v>1.1499999999999999</v>
      </c>
      <c r="HP18" s="90">
        <f t="shared" si="117"/>
        <v>1103.8900000000001</v>
      </c>
      <c r="HQ18" s="90">
        <v>1.1499999999999999</v>
      </c>
      <c r="HR18" s="90">
        <f t="shared" si="118"/>
        <v>1103.8900000000001</v>
      </c>
      <c r="HS18" s="90">
        <v>0.31919999999999998</v>
      </c>
      <c r="HT18" s="90">
        <f t="shared" si="119"/>
        <v>306.40008</v>
      </c>
      <c r="HU18" s="90" t="e">
        <f>HT18*#REF!</f>
        <v>#REF!</v>
      </c>
      <c r="HV18" s="90">
        <v>2.83</v>
      </c>
      <c r="HW18" s="90">
        <v>3.1</v>
      </c>
      <c r="HX18" s="90">
        <f t="shared" si="120"/>
        <v>2975.69</v>
      </c>
      <c r="HY18" s="90">
        <v>1.06</v>
      </c>
      <c r="HZ18" s="90">
        <f t="shared" si="121"/>
        <v>3154.2314000000001</v>
      </c>
      <c r="IA18" s="90">
        <f t="shared" si="122"/>
        <v>3.29</v>
      </c>
      <c r="IB18" s="90">
        <f t="shared" si="123"/>
        <v>3.45</v>
      </c>
      <c r="IC18" s="90">
        <f t="shared" si="124"/>
        <v>3311.6550000000002</v>
      </c>
      <c r="ID18" s="90">
        <f t="shared" si="125"/>
        <v>3.64</v>
      </c>
      <c r="IE18" s="90">
        <f t="shared" si="126"/>
        <v>3494.04</v>
      </c>
      <c r="IF18" s="90">
        <f t="shared" si="127"/>
        <v>3.64</v>
      </c>
      <c r="IG18" s="92">
        <f t="shared" si="128"/>
        <v>41928.479999999996</v>
      </c>
      <c r="IH18" s="90">
        <v>3.91</v>
      </c>
      <c r="II18" s="90">
        <f t="shared" si="129"/>
        <v>4.1100000000000003</v>
      </c>
      <c r="IJ18" s="90">
        <f t="shared" si="130"/>
        <v>3945.19</v>
      </c>
      <c r="IK18" s="90">
        <f t="shared" si="131"/>
        <v>4.1100000000000003</v>
      </c>
      <c r="IL18" s="90">
        <f t="shared" si="132"/>
        <v>3945.19</v>
      </c>
      <c r="IM18" s="90">
        <f t="shared" si="133"/>
        <v>4.1100000000000003</v>
      </c>
      <c r="IN18" s="90">
        <f t="shared" si="134"/>
        <v>3945.19</v>
      </c>
      <c r="IO18" s="90">
        <f t="shared" si="135"/>
        <v>4.1100000000000003</v>
      </c>
      <c r="IP18" s="93">
        <v>0.37052404126999999</v>
      </c>
      <c r="IQ18" s="90">
        <f t="shared" si="136"/>
        <v>284.53282177205841</v>
      </c>
      <c r="IR18" s="90">
        <f t="shared" si="137"/>
        <v>301.60479107838194</v>
      </c>
      <c r="IS18" s="90">
        <v>108693.96</v>
      </c>
      <c r="IT18" s="90">
        <v>3053.33</v>
      </c>
      <c r="IU18" s="94"/>
      <c r="IV18" s="94"/>
      <c r="IW18" s="94">
        <v>1.6976249999999999</v>
      </c>
      <c r="IX18" s="90">
        <f t="shared" si="138"/>
        <v>1303.6401900000001</v>
      </c>
      <c r="IY18" s="93">
        <v>0.56339614052999998</v>
      </c>
      <c r="IZ18" s="90">
        <f t="shared" si="139"/>
        <v>540.80395529474697</v>
      </c>
      <c r="JA18" s="90">
        <f t="shared" si="140"/>
        <v>566.76</v>
      </c>
      <c r="JB18" s="90">
        <f>I18*0.61966353</f>
        <v>594.81502244699993</v>
      </c>
      <c r="JC18" s="90">
        <f t="shared" si="141"/>
        <v>597.92999999999995</v>
      </c>
      <c r="JD18" s="90">
        <f t="shared" si="142"/>
        <v>632.38030107455791</v>
      </c>
      <c r="JE18" s="90">
        <f t="shared" si="143"/>
        <v>632.38030107455791</v>
      </c>
      <c r="JF18" s="93">
        <v>4.2278943710000003E-2</v>
      </c>
      <c r="JG18" s="90">
        <f t="shared" si="144"/>
        <v>32.466846453783205</v>
      </c>
      <c r="JH18" s="90">
        <f t="shared" si="145"/>
        <v>34.414857241010196</v>
      </c>
      <c r="JI18" s="20">
        <v>462.98</v>
      </c>
      <c r="JJ18" s="20"/>
      <c r="JK18" s="20">
        <v>6.0624999999999998E-2</v>
      </c>
      <c r="JL18" s="90">
        <f t="shared" si="146"/>
        <v>46.555150000000005</v>
      </c>
      <c r="JM18" s="93">
        <v>6.7347080040000007E-2</v>
      </c>
      <c r="JN18" s="90">
        <f t="shared" si="147"/>
        <v>64.646462130396003</v>
      </c>
      <c r="JO18" s="90">
        <f t="shared" si="148"/>
        <v>67.75</v>
      </c>
      <c r="JP18" s="90">
        <f>I18*0.074076361</f>
        <v>71.105898923899986</v>
      </c>
      <c r="JQ18" s="90">
        <f t="shared" si="149"/>
        <v>71.48</v>
      </c>
      <c r="JR18" s="90">
        <f t="shared" si="150"/>
        <v>75.596560397362168</v>
      </c>
      <c r="JS18" s="90">
        <f t="shared" si="151"/>
        <v>75.596560397362168</v>
      </c>
      <c r="JT18" s="93">
        <v>7.3220517000000002E-3</v>
      </c>
      <c r="JU18" s="90">
        <f t="shared" si="152"/>
        <v>5.6227499414640008</v>
      </c>
      <c r="JV18" s="90">
        <f t="shared" si="153"/>
        <v>5.89</v>
      </c>
      <c r="JW18" s="90">
        <f>I18*0.006444764</f>
        <v>6.1863289636000003</v>
      </c>
      <c r="JX18" s="90">
        <f t="shared" si="154"/>
        <v>6.21</v>
      </c>
      <c r="JY18" s="90">
        <f t="shared" si="155"/>
        <v>6.5770238223870834</v>
      </c>
      <c r="JZ18" s="90">
        <f t="shared" si="156"/>
        <v>6.5770238223870834</v>
      </c>
      <c r="KA18" s="90">
        <v>8.3090999999999998E-3</v>
      </c>
      <c r="KB18" s="90">
        <f t="shared" si="157"/>
        <v>6.3807240720000005</v>
      </c>
      <c r="KC18" s="90" t="e">
        <f>KB18*#REF!</f>
        <v>#REF!</v>
      </c>
      <c r="KD18" s="90">
        <v>34406.519999999997</v>
      </c>
      <c r="KE18" s="90">
        <v>40292.97</v>
      </c>
      <c r="KF18" s="90"/>
      <c r="KG18" s="90">
        <f t="shared" si="158"/>
        <v>1124.1247851569995</v>
      </c>
      <c r="KH18" s="90" t="e">
        <f>KG18/(BW18+#REF!)*(CB18+#REF!)</f>
        <v>#REF!</v>
      </c>
      <c r="KI18" s="90">
        <v>0.8</v>
      </c>
      <c r="KJ18" s="94"/>
      <c r="KK18" s="90">
        <f t="shared" si="159"/>
        <v>0</v>
      </c>
      <c r="KL18" s="93">
        <v>1.2690177</v>
      </c>
      <c r="KM18" s="90">
        <f t="shared" si="160"/>
        <v>1218.13009023</v>
      </c>
      <c r="KN18" s="90">
        <f t="shared" si="161"/>
        <v>1291.2178956437999</v>
      </c>
      <c r="KO18" s="90" t="e">
        <f>BW18+CN18+DC18+DS18+EG18+EV18+FK18+GB18+#REF!+#REF!+HJ18+HX18+IQ18+JG18+JU18+KK18+KM18</f>
        <v>#REF!</v>
      </c>
      <c r="KP18" s="90"/>
      <c r="KQ18" s="90">
        <v>0.50815001599999998</v>
      </c>
      <c r="KR18" s="90">
        <f t="shared" si="514"/>
        <v>487.77320035839995</v>
      </c>
      <c r="KS18" s="90">
        <v>0.71072749999999996</v>
      </c>
      <c r="KT18" s="90">
        <f t="shared" si="163"/>
        <v>346.67382725772467</v>
      </c>
      <c r="KU18" s="90">
        <f t="shared" si="164"/>
        <v>524.20603086041092</v>
      </c>
      <c r="KV18" s="90">
        <f t="shared" si="165"/>
        <v>549.37</v>
      </c>
      <c r="KW18" s="90">
        <f>I18*0.600647633</f>
        <v>576.56166291670002</v>
      </c>
      <c r="KX18" s="90">
        <f t="shared" si="166"/>
        <v>579.59</v>
      </c>
      <c r="KY18" s="90">
        <f t="shared" si="167"/>
        <v>612.97415872814179</v>
      </c>
      <c r="KZ18" s="90">
        <f t="shared" si="168"/>
        <v>612.97415872814179</v>
      </c>
      <c r="LA18" s="90">
        <f t="shared" si="169"/>
        <v>3762.8100071508998</v>
      </c>
      <c r="LB18" s="90">
        <f t="shared" si="170"/>
        <v>3.92</v>
      </c>
      <c r="LC18" s="92">
        <f t="shared" si="171"/>
        <v>45153.720085810797</v>
      </c>
      <c r="LD18" s="92">
        <v>4.21</v>
      </c>
      <c r="LE18" s="92">
        <v>4041.1800000000003</v>
      </c>
      <c r="LF18" s="90">
        <f t="shared" si="172"/>
        <v>4.18</v>
      </c>
      <c r="LG18" s="90">
        <f t="shared" si="173"/>
        <v>4012.38</v>
      </c>
      <c r="LH18" s="90">
        <f t="shared" si="174"/>
        <v>4045.0207576872172</v>
      </c>
      <c r="LI18" s="90">
        <f t="shared" si="175"/>
        <v>4.21</v>
      </c>
      <c r="LJ18" s="90">
        <f t="shared" si="176"/>
        <v>4012.38</v>
      </c>
      <c r="LK18" s="90">
        <f t="shared" si="177"/>
        <v>4.18</v>
      </c>
      <c r="LL18" s="90">
        <f t="shared" si="178"/>
        <v>4012.38</v>
      </c>
      <c r="LM18" s="90">
        <f t="shared" si="179"/>
        <v>4.18</v>
      </c>
      <c r="LN18" s="95">
        <v>0.46</v>
      </c>
      <c r="LO18" s="95">
        <f t="shared" si="180"/>
        <v>441.55</v>
      </c>
      <c r="LP18" s="95"/>
      <c r="LQ18" s="95">
        <f t="shared" si="181"/>
        <v>0</v>
      </c>
      <c r="LR18" s="90"/>
      <c r="LS18" s="90"/>
      <c r="LT18" s="90">
        <f t="shared" si="182"/>
        <v>0</v>
      </c>
      <c r="LU18" s="90"/>
      <c r="LV18" s="90">
        <f t="shared" si="183"/>
        <v>0</v>
      </c>
      <c r="LW18" s="90">
        <f t="shared" si="184"/>
        <v>0</v>
      </c>
      <c r="LX18" s="90"/>
      <c r="LY18" s="90"/>
      <c r="LZ18" s="90">
        <f t="shared" si="185"/>
        <v>0</v>
      </c>
      <c r="MA18" s="90"/>
      <c r="MB18" s="90">
        <f t="shared" si="186"/>
        <v>0</v>
      </c>
      <c r="MC18" s="90">
        <f t="shared" si="187"/>
        <v>0</v>
      </c>
      <c r="MD18" s="90"/>
      <c r="ME18" s="90"/>
      <c r="MF18" s="90">
        <f t="shared" si="188"/>
        <v>0</v>
      </c>
      <c r="MG18" s="90"/>
      <c r="MH18" s="90">
        <f t="shared" si="189"/>
        <v>0</v>
      </c>
      <c r="MI18" s="90">
        <f t="shared" si="190"/>
        <v>0</v>
      </c>
      <c r="MJ18" s="90"/>
      <c r="MK18" s="90"/>
      <c r="ML18" s="90">
        <f t="shared" si="191"/>
        <v>0</v>
      </c>
      <c r="MM18" s="90"/>
      <c r="MN18" s="90">
        <f t="shared" si="192"/>
        <v>0</v>
      </c>
      <c r="MO18" s="90">
        <f t="shared" si="193"/>
        <v>0</v>
      </c>
      <c r="MP18" s="90">
        <f t="shared" si="194"/>
        <v>0</v>
      </c>
      <c r="MQ18" s="90">
        <f t="shared" si="195"/>
        <v>0</v>
      </c>
      <c r="MR18" s="90">
        <f t="shared" si="196"/>
        <v>0</v>
      </c>
      <c r="MS18" s="90">
        <f t="shared" si="197"/>
        <v>0</v>
      </c>
      <c r="MT18" s="95"/>
      <c r="MU18" s="95">
        <f t="shared" si="198"/>
        <v>0</v>
      </c>
      <c r="MV18" s="92">
        <f t="shared" si="199"/>
        <v>0</v>
      </c>
      <c r="MW18" s="95"/>
      <c r="MX18" s="95">
        <f t="shared" si="200"/>
        <v>0</v>
      </c>
      <c r="MY18" s="95"/>
      <c r="MZ18" s="95">
        <f t="shared" si="201"/>
        <v>0</v>
      </c>
      <c r="NA18" s="95"/>
      <c r="NB18" s="95">
        <f t="shared" si="202"/>
        <v>0</v>
      </c>
      <c r="NC18" s="92">
        <f t="shared" si="203"/>
        <v>0</v>
      </c>
      <c r="ND18" s="95"/>
      <c r="NE18" s="95">
        <f t="shared" si="204"/>
        <v>0</v>
      </c>
      <c r="NF18" s="95"/>
      <c r="NG18" s="95">
        <f t="shared" si="205"/>
        <v>0</v>
      </c>
      <c r="NH18" s="95"/>
      <c r="NI18" s="95"/>
      <c r="NJ18" s="95">
        <f t="shared" si="206"/>
        <v>0</v>
      </c>
      <c r="NK18" s="92">
        <f t="shared" si="207"/>
        <v>0</v>
      </c>
      <c r="NL18" s="95"/>
      <c r="NM18" s="95">
        <f t="shared" si="208"/>
        <v>0</v>
      </c>
      <c r="NN18" s="95"/>
      <c r="NO18" s="95">
        <f t="shared" si="209"/>
        <v>0</v>
      </c>
      <c r="NP18" s="95"/>
      <c r="NQ18" s="95">
        <f t="shared" si="210"/>
        <v>0</v>
      </c>
      <c r="NR18" s="92">
        <f t="shared" si="211"/>
        <v>0</v>
      </c>
      <c r="NS18" s="95"/>
      <c r="NT18" s="95">
        <f t="shared" si="212"/>
        <v>0</v>
      </c>
      <c r="NU18" s="95"/>
      <c r="NV18" s="95">
        <f t="shared" si="213"/>
        <v>0</v>
      </c>
      <c r="NW18" s="95"/>
      <c r="NX18" s="95">
        <f t="shared" si="214"/>
        <v>0</v>
      </c>
      <c r="NY18" s="92">
        <f t="shared" si="215"/>
        <v>0</v>
      </c>
      <c r="NZ18" s="95"/>
      <c r="OA18" s="95">
        <f t="shared" si="216"/>
        <v>0</v>
      </c>
      <c r="OB18" s="95"/>
      <c r="OC18" s="95">
        <f t="shared" si="217"/>
        <v>0</v>
      </c>
      <c r="OD18" s="90">
        <v>5346.64</v>
      </c>
      <c r="OE18" s="90">
        <f t="shared" si="218"/>
        <v>5.57</v>
      </c>
      <c r="OF18" s="92">
        <f t="shared" si="219"/>
        <v>64159.680000000008</v>
      </c>
      <c r="OG18" s="96">
        <v>1060.58</v>
      </c>
      <c r="OH18" s="96">
        <v>1.1100000000000001</v>
      </c>
      <c r="OI18" s="90">
        <v>6385.41</v>
      </c>
      <c r="OJ18" s="90">
        <f t="shared" si="220"/>
        <v>6.65</v>
      </c>
      <c r="OK18" s="90">
        <f t="shared" si="221"/>
        <v>6407.22</v>
      </c>
      <c r="OL18" s="90">
        <f t="shared" si="222"/>
        <v>6.67</v>
      </c>
      <c r="OM18" s="90">
        <f t="shared" si="223"/>
        <v>-1.9999999999999574E-2</v>
      </c>
      <c r="ON18" s="90">
        <v>5324.36</v>
      </c>
      <c r="OO18" s="90">
        <f t="shared" si="224"/>
        <v>5.55</v>
      </c>
      <c r="OP18" s="90">
        <v>5324.83</v>
      </c>
      <c r="OQ18" s="90">
        <v>5.57</v>
      </c>
      <c r="OR18" s="90">
        <f t="shared" si="225"/>
        <v>-2.0000000000000462E-2</v>
      </c>
      <c r="OS18" s="90">
        <f t="shared" si="226"/>
        <v>5.5500000000000007</v>
      </c>
      <c r="OT18" s="90">
        <v>5324.36</v>
      </c>
      <c r="OU18" s="90">
        <f t="shared" si="227"/>
        <v>5.55</v>
      </c>
      <c r="OV18" s="97">
        <v>4386.74</v>
      </c>
      <c r="OW18" s="90">
        <f t="shared" si="228"/>
        <v>4386.74</v>
      </c>
      <c r="OX18" s="90">
        <f t="shared" si="229"/>
        <v>4.57</v>
      </c>
      <c r="OY18" s="90">
        <f>OU18-1+0.02</f>
        <v>4.5699999999999994</v>
      </c>
      <c r="OZ18" s="90"/>
      <c r="PA18" s="90"/>
      <c r="PB18" s="95">
        <f t="shared" si="230"/>
        <v>0</v>
      </c>
      <c r="PC18" s="92">
        <f t="shared" si="231"/>
        <v>0</v>
      </c>
      <c r="PD18" s="90"/>
      <c r="PE18" s="95">
        <f t="shared" si="232"/>
        <v>0</v>
      </c>
      <c r="PF18" s="90">
        <f t="shared" si="233"/>
        <v>14176.4700071509</v>
      </c>
      <c r="PG18" s="90">
        <f t="shared" si="234"/>
        <v>14.77</v>
      </c>
      <c r="PH18" s="90">
        <f t="shared" si="235"/>
        <v>15928.456666666667</v>
      </c>
      <c r="PI18" s="90">
        <f t="shared" si="236"/>
        <v>16.59</v>
      </c>
      <c r="PJ18" s="90">
        <f t="shared" si="237"/>
        <v>15928.456666666667</v>
      </c>
      <c r="PK18" s="90">
        <f t="shared" si="238"/>
        <v>16.59</v>
      </c>
      <c r="PL18" s="90"/>
      <c r="PM18" s="90">
        <f t="shared" si="239"/>
        <v>425.29</v>
      </c>
      <c r="PN18" s="90">
        <f t="shared" si="240"/>
        <v>0.44</v>
      </c>
      <c r="PO18" s="92">
        <f t="shared" si="241"/>
        <v>5103.4800000000005</v>
      </c>
      <c r="PP18" s="90">
        <f t="shared" si="242"/>
        <v>477.85</v>
      </c>
      <c r="PQ18" s="90">
        <f t="shared" si="243"/>
        <v>0.5</v>
      </c>
      <c r="PR18" s="90">
        <f t="shared" si="244"/>
        <v>477.85</v>
      </c>
      <c r="PS18" s="90">
        <f t="shared" si="245"/>
        <v>0.5</v>
      </c>
      <c r="PT18" s="90">
        <f t="shared" si="246"/>
        <v>14601.7600071509</v>
      </c>
      <c r="PU18" s="90">
        <f t="shared" si="247"/>
        <v>15.21</v>
      </c>
      <c r="PV18" s="90">
        <f t="shared" si="248"/>
        <v>16406.306666666667</v>
      </c>
      <c r="PW18" s="90">
        <f t="shared" si="249"/>
        <v>17.09</v>
      </c>
      <c r="PX18" s="90">
        <f t="shared" si="250"/>
        <v>16406.306666666667</v>
      </c>
      <c r="PY18" s="90">
        <f t="shared" si="251"/>
        <v>17.09</v>
      </c>
      <c r="PZ18" s="90">
        <f t="shared" si="252"/>
        <v>147.49</v>
      </c>
      <c r="QA18" s="90">
        <f t="shared" si="253"/>
        <v>0.15</v>
      </c>
      <c r="QB18" s="92">
        <f t="shared" si="254"/>
        <v>1769.88</v>
      </c>
      <c r="QC18" s="90">
        <f t="shared" si="255"/>
        <v>165.72</v>
      </c>
      <c r="QD18" s="90">
        <f t="shared" si="256"/>
        <v>0.17</v>
      </c>
      <c r="QE18" s="90">
        <f t="shared" si="257"/>
        <v>165.72</v>
      </c>
      <c r="QF18" s="90">
        <f t="shared" si="258"/>
        <v>0.17</v>
      </c>
      <c r="QG18" s="90">
        <f t="shared" si="259"/>
        <v>14749.2500071509</v>
      </c>
      <c r="QH18" s="90">
        <f t="shared" si="260"/>
        <v>15.37</v>
      </c>
      <c r="QI18" s="92">
        <f t="shared" si="261"/>
        <v>176991.00008581081</v>
      </c>
      <c r="QJ18" s="90">
        <f t="shared" si="262"/>
        <v>591.93166291670002</v>
      </c>
      <c r="QK18" s="98">
        <f t="shared" si="263"/>
        <v>0.25169999999999998</v>
      </c>
      <c r="QL18" s="90">
        <f t="shared" si="264"/>
        <v>241.60682999999997</v>
      </c>
      <c r="QM18" s="90">
        <f t="shared" si="265"/>
        <v>0.1128</v>
      </c>
      <c r="QN18" s="90">
        <f t="shared" si="266"/>
        <v>108.27672</v>
      </c>
      <c r="QO18" s="90">
        <v>0.21869999999999998</v>
      </c>
      <c r="QP18" s="90">
        <v>0.14579999999999999</v>
      </c>
      <c r="QQ18" s="97">
        <f t="shared" si="267"/>
        <v>349.88354999999996</v>
      </c>
      <c r="QR18" s="97">
        <v>348.42554999999993</v>
      </c>
      <c r="QS18" s="97">
        <f t="shared" si="268"/>
        <v>1.4580000000000268</v>
      </c>
      <c r="QT18" s="90"/>
      <c r="QU18" s="90">
        <f t="shared" si="269"/>
        <v>0.1128</v>
      </c>
      <c r="QV18" s="90">
        <f t="shared" si="270"/>
        <v>108.27672</v>
      </c>
      <c r="QW18" s="90">
        <f t="shared" si="271"/>
        <v>349.88354999999996</v>
      </c>
      <c r="QX18" s="90">
        <f t="shared" si="272"/>
        <v>0.36449999999999999</v>
      </c>
      <c r="QY18" s="90"/>
      <c r="QZ18" s="90"/>
      <c r="RA18" s="90"/>
      <c r="RB18" s="90">
        <v>3557.54</v>
      </c>
      <c r="RC18" s="97">
        <f t="shared" si="273"/>
        <v>14749.2500071509</v>
      </c>
      <c r="RD18" s="97">
        <f t="shared" si="274"/>
        <v>15.37</v>
      </c>
      <c r="RE18" s="90">
        <f t="shared" si="275"/>
        <v>16572.026666666668</v>
      </c>
      <c r="RF18" s="90">
        <f t="shared" si="276"/>
        <v>17.260000000000002</v>
      </c>
      <c r="RG18" s="90">
        <f t="shared" si="277"/>
        <v>112.44299674267101</v>
      </c>
      <c r="RH18" s="90">
        <f t="shared" si="278"/>
        <v>16572.026666666668</v>
      </c>
      <c r="RI18" s="90">
        <f t="shared" si="279"/>
        <v>17.260000000000002</v>
      </c>
      <c r="RJ18" s="90">
        <v>17.03</v>
      </c>
      <c r="RK18" s="90">
        <v>0</v>
      </c>
      <c r="RL18" s="90">
        <f t="shared" si="280"/>
        <v>0.23000000000000043</v>
      </c>
      <c r="RM18" s="90">
        <f t="shared" si="281"/>
        <v>106.28078817733993</v>
      </c>
      <c r="RN18" s="90">
        <f t="shared" si="282"/>
        <v>9275.2800071508991</v>
      </c>
      <c r="RO18" s="90"/>
      <c r="RP18" s="90"/>
      <c r="RQ18" s="99">
        <v>668</v>
      </c>
      <c r="RR18" s="90">
        <f t="shared" si="283"/>
        <v>9402.6100071509009</v>
      </c>
      <c r="RS18" s="90">
        <f t="shared" si="284"/>
        <v>9.795405778884156</v>
      </c>
      <c r="RT18" s="90">
        <v>11.28</v>
      </c>
      <c r="RU18" s="90">
        <f t="shared" si="285"/>
        <v>10827.671999999999</v>
      </c>
      <c r="RV18" s="90">
        <f t="shared" si="286"/>
        <v>0.616659717592145</v>
      </c>
      <c r="RW18" s="90">
        <v>10.43</v>
      </c>
      <c r="RX18" s="90">
        <f t="shared" si="287"/>
        <v>10.951499999999999</v>
      </c>
      <c r="RY18" s="90">
        <f t="shared" si="288"/>
        <v>10512.344849999999</v>
      </c>
      <c r="RZ18" s="90">
        <f t="shared" si="289"/>
        <v>2773.3787109758641</v>
      </c>
      <c r="SA18" s="90">
        <f t="shared" si="290"/>
        <v>1240.8015436092571</v>
      </c>
      <c r="SB18" s="90">
        <f t="shared" si="291"/>
        <v>1876.2179348985931</v>
      </c>
      <c r="SC18" s="90">
        <f t="shared" si="292"/>
        <v>3408.7951022652005</v>
      </c>
      <c r="SD18" s="90">
        <f t="shared" si="293"/>
        <v>3408.7951022652001</v>
      </c>
      <c r="SE18" s="90">
        <f t="shared" si="294"/>
        <v>3454.3659393806847</v>
      </c>
      <c r="SF18" s="90">
        <f t="shared" si="295"/>
        <v>3403.0305217756168</v>
      </c>
      <c r="SG18" s="90">
        <f t="shared" si="296"/>
        <v>5.76458048958375</v>
      </c>
      <c r="SH18" s="90">
        <f t="shared" si="297"/>
        <v>3403.2245418761404</v>
      </c>
      <c r="SI18" s="90">
        <f t="shared" si="298"/>
        <v>3.5511981480000001</v>
      </c>
      <c r="SJ18" s="90">
        <f t="shared" si="299"/>
        <v>3.5451927510945067</v>
      </c>
      <c r="SK18" s="90"/>
      <c r="SL18" s="90"/>
      <c r="SM18" s="90"/>
      <c r="SN18" s="90">
        <f t="shared" si="300"/>
        <v>3643.3199999999993</v>
      </c>
      <c r="SO18" s="90" t="e">
        <f>RU18-#REF!-#REF!-HZ18-LT18-LZ18-MF18-ML18-QL18-QN18-SD18</f>
        <v>#REF!</v>
      </c>
      <c r="SP18" s="90">
        <f t="shared" si="301"/>
        <v>3566.5899999999997</v>
      </c>
      <c r="SQ18" s="90">
        <f t="shared" si="302"/>
        <v>3762.8100071508998</v>
      </c>
      <c r="SR18" s="90">
        <f t="shared" si="303"/>
        <v>3.7155849567663295</v>
      </c>
      <c r="SS18" s="90">
        <f t="shared" si="304"/>
        <v>3.9200020909999997</v>
      </c>
      <c r="ST18" s="90">
        <f t="shared" si="305"/>
        <v>3770.9929999999999</v>
      </c>
      <c r="SU18" s="90">
        <v>3.7216654461763783</v>
      </c>
      <c r="SV18" s="90">
        <f t="shared" si="306"/>
        <v>3.93</v>
      </c>
      <c r="SW18" s="90">
        <v>3.92</v>
      </c>
      <c r="SX18" s="90">
        <f t="shared" si="307"/>
        <v>3762.81</v>
      </c>
      <c r="SY18" s="90">
        <v>3.7216654461763783</v>
      </c>
      <c r="SZ18" s="90">
        <f t="shared" si="308"/>
        <v>3572.4266617847056</v>
      </c>
      <c r="TA18" s="90">
        <f t="shared" si="309"/>
        <v>5.8366617847059388</v>
      </c>
      <c r="TB18" s="90">
        <v>0</v>
      </c>
      <c r="TC18" s="90">
        <f t="shared" si="310"/>
        <v>2328.9634499999988</v>
      </c>
      <c r="TD18" s="90" t="e">
        <f>#REF!+#REF!</f>
        <v>#REF!</v>
      </c>
      <c r="TE18" s="90" t="e">
        <f t="shared" si="311"/>
        <v>#REF!</v>
      </c>
      <c r="TF18" s="90">
        <v>2131.5514499999999</v>
      </c>
      <c r="TG18" s="90">
        <f t="shared" si="312"/>
        <v>21.509364616881626</v>
      </c>
      <c r="TH18" s="95"/>
      <c r="TI18" s="95"/>
      <c r="TJ18" s="95"/>
      <c r="TK18" s="95"/>
      <c r="TL18" s="95"/>
      <c r="TM18" s="95">
        <f t="shared" si="313"/>
        <v>0</v>
      </c>
      <c r="TN18" s="95">
        <f t="shared" si="314"/>
        <v>10827.671999999999</v>
      </c>
      <c r="TO18" s="95">
        <f t="shared" si="315"/>
        <v>21.509364616881626</v>
      </c>
      <c r="TP18" s="95"/>
      <c r="TQ18" s="95">
        <f t="shared" si="316"/>
        <v>11.28</v>
      </c>
      <c r="TR18" s="95"/>
      <c r="TS18" s="95"/>
      <c r="TT18" s="95"/>
      <c r="TU18" s="95"/>
      <c r="TV18" s="95"/>
      <c r="TW18" s="95"/>
      <c r="TX18" s="95"/>
      <c r="TY18" s="95"/>
      <c r="TZ18" s="95">
        <f t="shared" si="317"/>
        <v>3.2313829787234045</v>
      </c>
      <c r="UA18" s="95">
        <f t="shared" si="318"/>
        <v>0.49632000000000004</v>
      </c>
      <c r="UB18" s="90">
        <v>0</v>
      </c>
      <c r="UC18" s="90">
        <f t="shared" si="319"/>
        <v>0</v>
      </c>
      <c r="UD18" s="90">
        <f t="shared" si="320"/>
        <v>0</v>
      </c>
      <c r="UE18" s="90">
        <f t="shared" si="321"/>
        <v>0</v>
      </c>
      <c r="UF18" s="90">
        <f t="shared" si="322"/>
        <v>10827.671999999999</v>
      </c>
      <c r="UG18" s="91">
        <f t="shared" si="323"/>
        <v>0</v>
      </c>
      <c r="UH18" s="95">
        <f t="shared" si="324"/>
        <v>21.509364616881626</v>
      </c>
      <c r="UI18" s="95">
        <f t="shared" si="325"/>
        <v>10827.671999999999</v>
      </c>
      <c r="UJ18" s="101">
        <f t="shared" si="326"/>
        <v>0</v>
      </c>
      <c r="UK18" s="101">
        <f t="shared" si="327"/>
        <v>21.509364616881626</v>
      </c>
      <c r="UL18" s="90" t="e">
        <f>(#REF!+#REF!+HZ18+LT18+LZ18+MF18+ML18+QL18+QN18+SN18+TC18+TM18+UC18)/I18</f>
        <v>#REF!</v>
      </c>
      <c r="UN18" s="90" t="e">
        <f>#REF!/I18</f>
        <v>#REF!</v>
      </c>
      <c r="UO18" s="90" t="e">
        <f>#REF!/I18</f>
        <v>#REF!</v>
      </c>
      <c r="UP18" s="90">
        <v>1.1499999999999999</v>
      </c>
      <c r="UQ18" s="90" t="e">
        <f t="shared" si="328"/>
        <v>#REF!</v>
      </c>
      <c r="UR18" s="90">
        <f t="shared" si="329"/>
        <v>9402.6100071509009</v>
      </c>
      <c r="US18" s="90">
        <f t="shared" si="330"/>
        <v>11506.553333333333</v>
      </c>
      <c r="UT18" s="90">
        <f t="shared" si="331"/>
        <v>11506.553333333333</v>
      </c>
      <c r="UU18" s="90">
        <f t="shared" si="516"/>
        <v>11948.103333333333</v>
      </c>
      <c r="UV18" s="90">
        <f t="shared" si="333"/>
        <v>11743.736666666668</v>
      </c>
      <c r="UW18" s="90">
        <f t="shared" si="334"/>
        <v>5.5500000000000007</v>
      </c>
      <c r="UX18" s="90">
        <f t="shared" si="335"/>
        <v>3.92</v>
      </c>
      <c r="UY18" s="90">
        <f t="shared" si="336"/>
        <v>3.7955203667048645</v>
      </c>
      <c r="UZ18" s="100">
        <f t="shared" si="337"/>
        <v>3.5511981480000001</v>
      </c>
      <c r="VA18" s="90">
        <f t="shared" si="338"/>
        <v>0.53</v>
      </c>
      <c r="VB18" s="90">
        <f t="shared" si="339"/>
        <v>1.1000000000000001</v>
      </c>
      <c r="VC18" s="90">
        <f t="shared" si="340"/>
        <v>0</v>
      </c>
      <c r="VD18" s="90">
        <f t="shared" si="341"/>
        <v>0</v>
      </c>
      <c r="VE18" s="90">
        <f t="shared" si="342"/>
        <v>0</v>
      </c>
      <c r="VF18" s="90">
        <f t="shared" si="343"/>
        <v>0</v>
      </c>
      <c r="VG18" s="90">
        <f t="shared" si="344"/>
        <v>0</v>
      </c>
      <c r="VH18" s="90">
        <f t="shared" si="345"/>
        <v>0</v>
      </c>
      <c r="VI18" s="90">
        <f t="shared" si="346"/>
        <v>0</v>
      </c>
      <c r="VJ18" s="90">
        <f t="shared" si="347"/>
        <v>0</v>
      </c>
      <c r="VK18" s="90">
        <f t="shared" si="348"/>
        <v>0.78</v>
      </c>
      <c r="VL18" s="90">
        <f t="shared" si="349"/>
        <v>3.64</v>
      </c>
      <c r="VM18" s="90">
        <f t="shared" si="350"/>
        <v>5.57</v>
      </c>
      <c r="VN18" s="90">
        <f t="shared" si="351"/>
        <v>0</v>
      </c>
      <c r="VO18" s="90">
        <f t="shared" si="352"/>
        <v>5.57</v>
      </c>
      <c r="VP18" s="97">
        <v>0</v>
      </c>
      <c r="VQ18" s="97">
        <v>5.57</v>
      </c>
      <c r="VR18" s="90">
        <f t="shared" si="353"/>
        <v>0.44</v>
      </c>
      <c r="VS18" s="90">
        <f t="shared" si="354"/>
        <v>0.15</v>
      </c>
      <c r="VT18" s="90">
        <v>0.11989898989898991</v>
      </c>
      <c r="VU18" s="90">
        <f t="shared" si="355"/>
        <v>0.15350000000000003</v>
      </c>
      <c r="VV18" s="90">
        <v>0.38175323599898991</v>
      </c>
      <c r="VW18" s="90">
        <f t="shared" si="356"/>
        <v>0.59</v>
      </c>
      <c r="VX18" s="90">
        <f t="shared" si="357"/>
        <v>15.350000000000001</v>
      </c>
      <c r="VY18" s="90">
        <f t="shared" si="358"/>
        <v>15.350000000000001</v>
      </c>
      <c r="VZ18" s="90">
        <f t="shared" si="359"/>
        <v>0</v>
      </c>
      <c r="WA18" s="90"/>
      <c r="WB18" s="90">
        <f t="shared" si="360"/>
        <v>15.350000000000001</v>
      </c>
      <c r="WC18" s="90">
        <f t="shared" si="361"/>
        <v>0</v>
      </c>
      <c r="WD18" s="90"/>
      <c r="WE18" s="90">
        <v>15.370000000000001</v>
      </c>
      <c r="WF18" s="90"/>
      <c r="WG18" s="90">
        <f t="shared" si="362"/>
        <v>14734.465</v>
      </c>
      <c r="WH18" s="90">
        <f t="shared" si="363"/>
        <v>14734.465</v>
      </c>
      <c r="WI18" s="90">
        <f t="shared" si="364"/>
        <v>14749.2500071509</v>
      </c>
      <c r="WJ18" s="90">
        <f t="shared" si="365"/>
        <v>9402.6100071509009</v>
      </c>
      <c r="WK18" s="97">
        <v>5324.36</v>
      </c>
      <c r="WL18" s="97">
        <v>5.57</v>
      </c>
      <c r="WM18" s="90">
        <f t="shared" si="366"/>
        <v>5346.64</v>
      </c>
      <c r="WN18" s="90">
        <f t="shared" si="367"/>
        <v>5.57</v>
      </c>
      <c r="WO18" s="90"/>
      <c r="WP18" s="97">
        <v>15.370000000000001</v>
      </c>
      <c r="WQ18" s="90">
        <f t="shared" si="368"/>
        <v>15.350000000000001</v>
      </c>
      <c r="WR18" s="91">
        <f t="shared" si="369"/>
        <v>136.08156028368796</v>
      </c>
      <c r="WS18" s="91">
        <f t="shared" si="370"/>
        <v>136.08156028368796</v>
      </c>
      <c r="WT18" s="90">
        <f t="shared" si="371"/>
        <v>14753.66</v>
      </c>
      <c r="WU18" s="90">
        <f t="shared" si="372"/>
        <v>14749.2500071509</v>
      </c>
      <c r="WV18" s="90">
        <f t="shared" si="373"/>
        <v>4.4099928490995808</v>
      </c>
      <c r="WW18" s="90"/>
      <c r="WX18" s="90"/>
      <c r="WY18" s="90"/>
      <c r="WZ18" s="90">
        <f t="shared" si="374"/>
        <v>2.2519959595959587</v>
      </c>
      <c r="XA18" s="90">
        <v>0</v>
      </c>
      <c r="XB18" s="90">
        <f t="shared" si="375"/>
        <v>2.2519959595959587</v>
      </c>
      <c r="XC18" s="90">
        <f t="shared" si="376"/>
        <v>0.35759999999999997</v>
      </c>
      <c r="XD18" s="90">
        <f t="shared" si="377"/>
        <v>0.1204040404040404</v>
      </c>
      <c r="XE18" s="90"/>
      <c r="XF18" s="90">
        <f t="shared" si="378"/>
        <v>11.92</v>
      </c>
      <c r="XG18" s="90">
        <v>2.2298895805000525</v>
      </c>
      <c r="XH18" s="20">
        <v>11.28</v>
      </c>
      <c r="XI18" s="20">
        <v>0</v>
      </c>
      <c r="XJ18" s="20"/>
      <c r="XK18" s="20"/>
      <c r="XL18" s="20"/>
      <c r="XM18" s="20">
        <f t="shared" si="379"/>
        <v>11.28</v>
      </c>
      <c r="XN18" s="91">
        <f t="shared" si="380"/>
        <v>136.08156028368796</v>
      </c>
      <c r="XO18" s="20">
        <f t="shared" si="381"/>
        <v>11.28</v>
      </c>
      <c r="XP18" s="90">
        <f t="shared" si="382"/>
        <v>11.28</v>
      </c>
      <c r="XQ18" s="91">
        <f t="shared" si="383"/>
        <v>136.08156028368796</v>
      </c>
      <c r="XR18" s="102"/>
      <c r="XS18" s="90">
        <f t="shared" si="384"/>
        <v>3.64</v>
      </c>
      <c r="XT18" s="90">
        <f t="shared" si="385"/>
        <v>5.5500000000000007</v>
      </c>
      <c r="XU18" s="90">
        <f t="shared" si="386"/>
        <v>3.92</v>
      </c>
      <c r="XV18" s="90">
        <f t="shared" si="387"/>
        <v>0.53</v>
      </c>
      <c r="XW18" s="90">
        <f t="shared" si="388"/>
        <v>0.53</v>
      </c>
      <c r="XX18" s="90">
        <f t="shared" si="389"/>
        <v>0</v>
      </c>
      <c r="XY18" s="90">
        <f t="shared" si="390"/>
        <v>1.1000000000000001</v>
      </c>
      <c r="XZ18" s="90">
        <f t="shared" si="391"/>
        <v>0</v>
      </c>
      <c r="YA18" s="90">
        <f t="shared" si="392"/>
        <v>0</v>
      </c>
      <c r="YB18" s="90">
        <f t="shared" si="393"/>
        <v>0</v>
      </c>
      <c r="YC18" s="90">
        <f t="shared" si="393"/>
        <v>0</v>
      </c>
      <c r="YD18" s="90">
        <f t="shared" si="394"/>
        <v>1.1000000000000001</v>
      </c>
      <c r="YE18" s="90">
        <f t="shared" si="395"/>
        <v>5.57</v>
      </c>
      <c r="YF18" s="90">
        <f t="shared" si="396"/>
        <v>0.59</v>
      </c>
      <c r="YG18" s="90">
        <f t="shared" si="397"/>
        <v>15.350000000000001</v>
      </c>
      <c r="YI18" s="103" t="s">
        <v>469</v>
      </c>
      <c r="YK18" s="90">
        <f t="shared" si="398"/>
        <v>1.07</v>
      </c>
      <c r="YL18" s="90">
        <f t="shared" si="399"/>
        <v>0.53</v>
      </c>
      <c r="YM18" s="90">
        <f t="shared" si="399"/>
        <v>1.1000000000000001</v>
      </c>
      <c r="YN18" s="90">
        <f t="shared" si="400"/>
        <v>3.64</v>
      </c>
      <c r="YO18" s="90">
        <f t="shared" si="401"/>
        <v>9.01</v>
      </c>
      <c r="YP18" s="90">
        <f t="shared" si="402"/>
        <v>0</v>
      </c>
      <c r="YQ18" s="90">
        <f t="shared" si="403"/>
        <v>15.350000000000001</v>
      </c>
      <c r="YR18" s="90">
        <f t="shared" si="404"/>
        <v>0</v>
      </c>
      <c r="YS18" s="104">
        <f t="shared" si="405"/>
        <v>15.35</v>
      </c>
      <c r="YT18" s="104">
        <f t="shared" si="406"/>
        <v>0</v>
      </c>
      <c r="YY18" s="90">
        <f t="shared" si="407"/>
        <v>7.1999999999999993</v>
      </c>
      <c r="YZ18" s="90">
        <f t="shared" si="408"/>
        <v>4.18</v>
      </c>
      <c r="ZA18" s="90">
        <f t="shared" si="409"/>
        <v>0.47</v>
      </c>
      <c r="ZB18" s="90">
        <f t="shared" si="410"/>
        <v>2.5499999999999998</v>
      </c>
      <c r="ZC18" s="90">
        <f t="shared" si="411"/>
        <v>0</v>
      </c>
      <c r="ZD18" s="90">
        <f t="shared" si="412"/>
        <v>0</v>
      </c>
      <c r="ZE18" s="90">
        <f t="shared" si="413"/>
        <v>0</v>
      </c>
      <c r="ZF18" s="90">
        <f t="shared" si="414"/>
        <v>0</v>
      </c>
      <c r="ZG18" s="90">
        <f t="shared" si="415"/>
        <v>0</v>
      </c>
      <c r="ZH18" s="90">
        <f t="shared" si="416"/>
        <v>0</v>
      </c>
      <c r="ZI18" s="90">
        <f t="shared" si="417"/>
        <v>0</v>
      </c>
      <c r="ZJ18" s="90">
        <f t="shared" si="418"/>
        <v>0</v>
      </c>
      <c r="ZK18" s="90">
        <f t="shared" si="419"/>
        <v>0</v>
      </c>
      <c r="ZL18" s="90">
        <f t="shared" si="420"/>
        <v>0.01</v>
      </c>
      <c r="ZM18" s="90">
        <f t="shared" si="421"/>
        <v>4.1100000000000003</v>
      </c>
      <c r="ZN18" s="90">
        <f t="shared" si="422"/>
        <v>7.12</v>
      </c>
      <c r="ZO18" s="90">
        <f t="shared" si="423"/>
        <v>6.67</v>
      </c>
      <c r="ZP18" s="90">
        <f t="shared" si="424"/>
        <v>4.57</v>
      </c>
      <c r="ZQ18" s="90">
        <f t="shared" si="425"/>
        <v>0</v>
      </c>
      <c r="ZR18" s="90">
        <f t="shared" si="426"/>
        <v>4.57</v>
      </c>
      <c r="ZS18" s="97">
        <v>227</v>
      </c>
      <c r="ZT18" s="97">
        <v>230.38</v>
      </c>
      <c r="ZU18" s="90">
        <f t="shared" si="427"/>
        <v>0.5</v>
      </c>
      <c r="ZV18" s="90">
        <f t="shared" si="428"/>
        <v>0.17</v>
      </c>
      <c r="ZW18" s="90">
        <v>0.11989898989898991</v>
      </c>
      <c r="ZX18" s="90">
        <f t="shared" si="429"/>
        <v>0.16550000000000001</v>
      </c>
      <c r="ZY18" s="90">
        <v>0.38175323599898991</v>
      </c>
      <c r="ZZ18" s="90">
        <f t="shared" si="430"/>
        <v>0.67</v>
      </c>
      <c r="AAA18" s="90">
        <f t="shared" si="431"/>
        <v>16.55</v>
      </c>
      <c r="AAB18" s="90">
        <f t="shared" si="432"/>
        <v>16.55</v>
      </c>
      <c r="AAC18" s="90">
        <f t="shared" si="433"/>
        <v>0</v>
      </c>
      <c r="AAD18" s="90"/>
      <c r="AAE18" s="90">
        <f t="shared" si="434"/>
        <v>16.55</v>
      </c>
      <c r="AAF18" s="90">
        <v>15.370000000000001</v>
      </c>
      <c r="AAG18" s="90">
        <f t="shared" si="435"/>
        <v>107.81758957654723</v>
      </c>
      <c r="AAH18" s="90">
        <f t="shared" si="436"/>
        <v>0</v>
      </c>
      <c r="AAI18" s="90">
        <v>0</v>
      </c>
      <c r="AAJ18" s="90"/>
      <c r="AAK18" s="1">
        <v>16.239999999999998</v>
      </c>
      <c r="AAL18" s="104">
        <f t="shared" si="437"/>
        <v>0.31000000000000227</v>
      </c>
      <c r="AAM18" s="103" t="s">
        <v>440</v>
      </c>
      <c r="AAN18" s="105">
        <v>7.13</v>
      </c>
      <c r="AAO18" s="90">
        <f t="shared" si="438"/>
        <v>7.9099999999999993</v>
      </c>
      <c r="AAP18" s="90">
        <v>4.21</v>
      </c>
      <c r="AAQ18" s="90">
        <f t="shared" si="439"/>
        <v>4.18</v>
      </c>
      <c r="AAR18" s="90">
        <v>0.47</v>
      </c>
      <c r="AAS18" s="90">
        <f t="shared" si="440"/>
        <v>0.72</v>
      </c>
      <c r="AAT18" s="90">
        <f t="shared" si="441"/>
        <v>153.19148936170214</v>
      </c>
      <c r="AAU18" s="90">
        <v>2.4500000000000002</v>
      </c>
      <c r="AAV18" s="90">
        <f t="shared" si="442"/>
        <v>2.5499999999999998</v>
      </c>
      <c r="AAW18" s="90">
        <f t="shared" si="443"/>
        <v>104.08163265306121</v>
      </c>
      <c r="AAX18" s="90">
        <f t="shared" si="444"/>
        <v>0.46</v>
      </c>
      <c r="AAY18" s="90">
        <f t="shared" si="445"/>
        <v>0</v>
      </c>
      <c r="AAZ18" s="90">
        <f t="shared" si="446"/>
        <v>0</v>
      </c>
      <c r="ABA18" s="90">
        <f t="shared" si="447"/>
        <v>0</v>
      </c>
      <c r="ABB18" s="90">
        <f t="shared" si="448"/>
        <v>0</v>
      </c>
      <c r="ABC18" s="90">
        <v>0</v>
      </c>
      <c r="ABD18" s="90">
        <f t="shared" si="449"/>
        <v>0</v>
      </c>
      <c r="ABE18" s="90"/>
      <c r="ABF18" s="90">
        <v>0</v>
      </c>
      <c r="ABG18" s="90">
        <f t="shared" si="450"/>
        <v>0</v>
      </c>
      <c r="ABH18" s="90"/>
      <c r="ABI18" s="90">
        <f t="shared" si="451"/>
        <v>0</v>
      </c>
      <c r="ABJ18" s="90">
        <f t="shared" si="452"/>
        <v>0</v>
      </c>
      <c r="ABK18" s="90">
        <v>0</v>
      </c>
      <c r="ABL18" s="90">
        <f t="shared" si="453"/>
        <v>0</v>
      </c>
      <c r="ABM18" s="90">
        <f t="shared" si="454"/>
        <v>0</v>
      </c>
      <c r="ABN18" s="90">
        <f t="shared" si="455"/>
        <v>0.02</v>
      </c>
      <c r="ABO18" s="90">
        <v>3.91</v>
      </c>
      <c r="ABP18" s="90">
        <f t="shared" si="456"/>
        <v>4.1100000000000003</v>
      </c>
      <c r="ABQ18" s="90">
        <f t="shared" si="457"/>
        <v>105.1150895140665</v>
      </c>
      <c r="ABR18" s="90">
        <f t="shared" si="458"/>
        <v>7.12</v>
      </c>
      <c r="ABS18" s="90">
        <f t="shared" si="459"/>
        <v>6.67</v>
      </c>
      <c r="ABT18" s="90">
        <v>4.57</v>
      </c>
      <c r="ABU18" s="90">
        <f t="shared" si="460"/>
        <v>4.57</v>
      </c>
      <c r="ABV18" s="90">
        <f t="shared" si="461"/>
        <v>100</v>
      </c>
      <c r="ABW18" s="90">
        <f t="shared" si="462"/>
        <v>0</v>
      </c>
      <c r="ABX18" s="90">
        <f t="shared" si="463"/>
        <v>4.57</v>
      </c>
      <c r="ABY18" s="97">
        <v>227</v>
      </c>
      <c r="ABZ18" s="97">
        <v>230.38</v>
      </c>
      <c r="ACA18" s="90">
        <f t="shared" si="464"/>
        <v>0.5</v>
      </c>
      <c r="ACB18" s="90">
        <f t="shared" si="465"/>
        <v>0.17</v>
      </c>
      <c r="ACC18" s="90">
        <v>0.11989898989898991</v>
      </c>
      <c r="ACD18" s="90">
        <f t="shared" si="466"/>
        <v>0.16800000000000001</v>
      </c>
      <c r="ACE18" s="90">
        <v>0.38175323599898991</v>
      </c>
      <c r="ACF18" s="90">
        <v>0.63</v>
      </c>
      <c r="ACG18" s="90">
        <f t="shared" si="467"/>
        <v>0.67</v>
      </c>
      <c r="ACH18" s="90">
        <f t="shared" si="468"/>
        <v>106.34920634920636</v>
      </c>
      <c r="ACI18" s="90">
        <f t="shared" si="469"/>
        <v>17.260000000000002</v>
      </c>
      <c r="ACJ18" s="90">
        <f t="shared" si="470"/>
        <v>16.8</v>
      </c>
      <c r="ACK18" s="90">
        <f t="shared" si="471"/>
        <v>-0.46000000000000085</v>
      </c>
      <c r="ACL18" s="90"/>
      <c r="ACM18" s="90">
        <f t="shared" si="472"/>
        <v>17.260000000000002</v>
      </c>
      <c r="ACN18" s="90">
        <f t="shared" si="473"/>
        <v>0</v>
      </c>
      <c r="ACO18" s="90">
        <f t="shared" si="474"/>
        <v>17.260000000000002</v>
      </c>
      <c r="ACP18" s="90">
        <v>16.239999999999998</v>
      </c>
      <c r="ACQ18" s="90">
        <f t="shared" si="475"/>
        <v>106.28078817733993</v>
      </c>
      <c r="ACR18" s="90">
        <f t="shared" si="476"/>
        <v>0</v>
      </c>
      <c r="ACS18" s="90">
        <v>0</v>
      </c>
      <c r="ACT18" s="90"/>
      <c r="ACU18" s="90">
        <f t="shared" si="477"/>
        <v>17.068239999999996</v>
      </c>
      <c r="ACV18" s="90">
        <f t="shared" si="478"/>
        <v>-0.1917600000000057</v>
      </c>
      <c r="ACX18" s="106" t="s">
        <v>470</v>
      </c>
      <c r="ACY18" s="107"/>
      <c r="ACZ18" s="107"/>
      <c r="ADB18" s="90">
        <f t="shared" si="479"/>
        <v>4.1100000000000003</v>
      </c>
      <c r="ADC18" s="90">
        <f t="shared" si="480"/>
        <v>7.9099999999999993</v>
      </c>
      <c r="ADD18" s="90">
        <f t="shared" si="481"/>
        <v>4.18</v>
      </c>
      <c r="ADE18" s="90">
        <f t="shared" si="517"/>
        <v>1.18</v>
      </c>
      <c r="ADF18" s="90">
        <f t="shared" si="483"/>
        <v>0.72</v>
      </c>
      <c r="ADG18" s="90">
        <f t="shared" si="484"/>
        <v>0.46</v>
      </c>
      <c r="ADH18" s="90">
        <f t="shared" si="484"/>
        <v>0</v>
      </c>
      <c r="ADI18" s="90">
        <f t="shared" si="484"/>
        <v>0</v>
      </c>
      <c r="ADJ18" s="90">
        <f t="shared" si="485"/>
        <v>2.5499999999999998</v>
      </c>
      <c r="ADK18" s="90">
        <f t="shared" si="486"/>
        <v>0</v>
      </c>
      <c r="ADL18" s="90">
        <f t="shared" si="487"/>
        <v>0</v>
      </c>
      <c r="ADM18" s="90">
        <f t="shared" si="488"/>
        <v>0</v>
      </c>
      <c r="ADN18" s="90">
        <f t="shared" si="488"/>
        <v>0</v>
      </c>
      <c r="ADO18" s="90">
        <f t="shared" si="489"/>
        <v>2.5499999999999998</v>
      </c>
      <c r="ADP18" s="90">
        <f t="shared" si="490"/>
        <v>4.57</v>
      </c>
      <c r="ADQ18" s="90">
        <f t="shared" si="491"/>
        <v>0.67</v>
      </c>
      <c r="ADR18" s="90">
        <f t="shared" si="492"/>
        <v>17.260000000000002</v>
      </c>
      <c r="ADU18" s="90">
        <f t="shared" si="493"/>
        <v>1.1499999999999999</v>
      </c>
      <c r="ADV18" s="90">
        <f t="shared" si="494"/>
        <v>0.72</v>
      </c>
      <c r="ADW18" s="90">
        <f t="shared" si="495"/>
        <v>2.5499999999999998</v>
      </c>
      <c r="ADX18" s="90">
        <f t="shared" si="496"/>
        <v>4.1100000000000003</v>
      </c>
      <c r="ADY18" s="90">
        <f t="shared" si="497"/>
        <v>8.27</v>
      </c>
      <c r="ADZ18" s="90">
        <f t="shared" si="498"/>
        <v>0</v>
      </c>
      <c r="AEA18" s="90">
        <f t="shared" si="499"/>
        <v>17.260000000000002</v>
      </c>
      <c r="AEB18" s="90">
        <f t="shared" si="500"/>
        <v>0</v>
      </c>
      <c r="AEC18" s="104">
        <f t="shared" si="501"/>
        <v>16.8</v>
      </c>
      <c r="AED18" s="104">
        <f t="shared" si="502"/>
        <v>0.46000000000000085</v>
      </c>
      <c r="AEG18" s="1">
        <v>7.13</v>
      </c>
      <c r="AEH18" s="1">
        <v>4.21</v>
      </c>
      <c r="AEI18" s="1">
        <v>0.47</v>
      </c>
      <c r="AEJ18" s="1">
        <v>2.4500000000000002</v>
      </c>
      <c r="AEK18" s="1">
        <v>0</v>
      </c>
      <c r="AEL18" s="1">
        <v>0</v>
      </c>
      <c r="AEM18" s="1">
        <v>0</v>
      </c>
      <c r="AEN18" s="1">
        <v>0</v>
      </c>
      <c r="AEO18" s="1">
        <v>0</v>
      </c>
      <c r="AEP18" s="1">
        <v>0</v>
      </c>
      <c r="AEQ18" s="1">
        <v>0</v>
      </c>
      <c r="AER18" s="1">
        <v>0</v>
      </c>
      <c r="AES18" s="1">
        <v>0</v>
      </c>
      <c r="AET18" s="1">
        <v>0</v>
      </c>
      <c r="AEU18" s="1">
        <v>0</v>
      </c>
      <c r="AEV18" s="1">
        <v>0.02</v>
      </c>
      <c r="AEW18" s="1">
        <v>3.91</v>
      </c>
      <c r="AEX18" s="1">
        <v>7.0200000000000005</v>
      </c>
      <c r="AEY18" s="1">
        <v>6.67</v>
      </c>
      <c r="AEZ18" s="1">
        <v>4.57</v>
      </c>
      <c r="AFA18" s="1">
        <v>0</v>
      </c>
      <c r="AFB18" s="1">
        <v>4.57</v>
      </c>
      <c r="AFC18" s="1">
        <v>227</v>
      </c>
      <c r="AFD18" s="1">
        <v>230.38</v>
      </c>
      <c r="AFE18" s="1">
        <v>0.47</v>
      </c>
      <c r="AFF18" s="1">
        <v>0.16</v>
      </c>
      <c r="AFG18" s="1">
        <v>0.11989898989898991</v>
      </c>
      <c r="AFH18" s="1">
        <v>0.16239999999999999</v>
      </c>
      <c r="AFI18" s="1">
        <v>0.38175323599898991</v>
      </c>
      <c r="AFJ18" s="1">
        <v>0.63</v>
      </c>
      <c r="AFK18" s="1">
        <v>16.239999999999998</v>
      </c>
      <c r="AFL18" s="1">
        <v>16.239999999999998</v>
      </c>
      <c r="AFM18" s="1">
        <v>0</v>
      </c>
      <c r="AFO18" s="1">
        <v>16.239999999999998</v>
      </c>
      <c r="AFP18" s="1">
        <v>0</v>
      </c>
      <c r="AFQ18" s="1">
        <v>16.239999999999998</v>
      </c>
      <c r="AFX18" s="1">
        <v>17.04</v>
      </c>
    </row>
    <row r="19" spans="1:856" s="1" customFormat="1" ht="63.75" customHeight="1">
      <c r="A19" s="88">
        <v>11</v>
      </c>
      <c r="B19" s="20"/>
      <c r="C19" s="89" t="s">
        <v>471</v>
      </c>
      <c r="D19" s="20"/>
      <c r="E19" s="20" t="s">
        <v>437</v>
      </c>
      <c r="F19" s="20" t="s">
        <v>438</v>
      </c>
      <c r="G19" s="20">
        <v>0.8</v>
      </c>
      <c r="H19" s="20">
        <v>884.8</v>
      </c>
      <c r="I19" s="91">
        <f>884.8+0.2-0.1+4.1-4.1+4.1</f>
        <v>889</v>
      </c>
      <c r="J19" s="91">
        <f t="shared" si="0"/>
        <v>711.2</v>
      </c>
      <c r="K19" s="109">
        <v>18</v>
      </c>
      <c r="L19" s="109">
        <v>38</v>
      </c>
      <c r="M19" s="109">
        <v>41</v>
      </c>
      <c r="N19" s="109">
        <v>1011.2</v>
      </c>
      <c r="O19" s="90">
        <f t="shared" si="1"/>
        <v>1.1399999999999999</v>
      </c>
      <c r="P19" s="109">
        <v>3456</v>
      </c>
      <c r="Q19" s="90">
        <f>P19/12</f>
        <v>288</v>
      </c>
      <c r="R19" s="90">
        <f t="shared" si="2"/>
        <v>0.32</v>
      </c>
      <c r="S19" s="91">
        <v>106.7</v>
      </c>
      <c r="T19" s="20">
        <v>2.6</v>
      </c>
      <c r="U19" s="20">
        <v>3.13</v>
      </c>
      <c r="V19" s="91">
        <f t="shared" si="3"/>
        <v>868.32</v>
      </c>
      <c r="W19" s="20">
        <v>2.1000000000000001E-2</v>
      </c>
      <c r="X19" s="20">
        <f t="shared" si="4"/>
        <v>33.42</v>
      </c>
      <c r="Y19" s="91">
        <f t="shared" si="5"/>
        <v>74.88</v>
      </c>
      <c r="Z19" s="20"/>
      <c r="AA19" s="20"/>
      <c r="AB19" s="20"/>
      <c r="AC19" s="91">
        <f t="shared" si="6"/>
        <v>943.21</v>
      </c>
      <c r="AD19" s="90">
        <f t="shared" si="7"/>
        <v>1.06</v>
      </c>
      <c r="AE19" s="92">
        <f t="shared" si="8"/>
        <v>11318.52</v>
      </c>
      <c r="AF19" s="109">
        <v>37</v>
      </c>
      <c r="AG19" s="109">
        <v>36</v>
      </c>
      <c r="AH19" s="109">
        <v>36</v>
      </c>
      <c r="AI19" s="109">
        <v>36</v>
      </c>
      <c r="AJ19" s="20">
        <v>1.6</v>
      </c>
      <c r="AK19" s="90">
        <f t="shared" si="9"/>
        <v>4.8</v>
      </c>
      <c r="AL19" s="90">
        <v>391.01</v>
      </c>
      <c r="AM19" s="90">
        <f t="shared" si="10"/>
        <v>1876.85</v>
      </c>
      <c r="AN19" s="109">
        <v>37</v>
      </c>
      <c r="AO19" s="109">
        <v>36</v>
      </c>
      <c r="AP19" s="109">
        <v>37</v>
      </c>
      <c r="AQ19" s="109">
        <v>37</v>
      </c>
      <c r="AR19" s="109">
        <v>36</v>
      </c>
      <c r="AS19" s="109">
        <v>39</v>
      </c>
      <c r="AT19" s="20">
        <f t="shared" si="11"/>
        <v>1</v>
      </c>
      <c r="AU19" s="20">
        <v>1.6</v>
      </c>
      <c r="AV19" s="90">
        <f t="shared" si="12"/>
        <v>4.93</v>
      </c>
      <c r="AW19" s="90">
        <f>ROUND((187.84*6+189.92*6)/12,2)</f>
        <v>188.88</v>
      </c>
      <c r="AX19" s="90">
        <v>982.18</v>
      </c>
      <c r="AY19" s="90">
        <f t="shared" si="14"/>
        <v>1.1000000000000001</v>
      </c>
      <c r="AZ19" s="90">
        <f t="shared" si="15"/>
        <v>1928.98</v>
      </c>
      <c r="BA19" s="90">
        <f t="shared" si="16"/>
        <v>-946.80000000000007</v>
      </c>
      <c r="BB19" s="90">
        <v>982.18</v>
      </c>
      <c r="BC19" s="90">
        <v>1.1100000000000001</v>
      </c>
      <c r="BD19" s="92">
        <f t="shared" si="17"/>
        <v>11786.16</v>
      </c>
      <c r="BE19" s="90"/>
      <c r="BF19" s="90">
        <f t="shared" si="18"/>
        <v>0</v>
      </c>
      <c r="BG19" s="90">
        <v>391.01</v>
      </c>
      <c r="BH19" s="90">
        <f t="shared" si="19"/>
        <v>1927.68</v>
      </c>
      <c r="BI19" s="90">
        <f t="shared" si="20"/>
        <v>2.17</v>
      </c>
      <c r="BJ19" s="90">
        <f t="shared" si="21"/>
        <v>197.27272727272725</v>
      </c>
      <c r="BK19" s="90">
        <f t="shared" si="22"/>
        <v>1927.68</v>
      </c>
      <c r="BL19" s="90">
        <f t="shared" si="23"/>
        <v>2.17</v>
      </c>
      <c r="BM19" s="90"/>
      <c r="BN19" s="90">
        <f t="shared" si="24"/>
        <v>0</v>
      </c>
      <c r="BO19" s="90">
        <f t="shared" si="25"/>
        <v>1927.68</v>
      </c>
      <c r="BP19" s="90">
        <f t="shared" si="26"/>
        <v>2.1683689538807651</v>
      </c>
      <c r="BQ19" s="90"/>
      <c r="BR19" s="90">
        <f t="shared" si="27"/>
        <v>0</v>
      </c>
      <c r="BS19" s="90">
        <f t="shared" si="28"/>
        <v>1927.68</v>
      </c>
      <c r="BT19" s="90">
        <f t="shared" si="29"/>
        <v>2.1683689538807651</v>
      </c>
      <c r="BU19" s="90"/>
      <c r="BV19" s="93">
        <v>1.4356370000000001</v>
      </c>
      <c r="BW19" s="90">
        <f t="shared" si="30"/>
        <v>1276.281293</v>
      </c>
      <c r="BX19" s="90">
        <f t="shared" si="31"/>
        <v>1352.85817058</v>
      </c>
      <c r="BY19" s="90"/>
      <c r="BZ19" s="90"/>
      <c r="CA19" s="90">
        <v>0.2651</v>
      </c>
      <c r="CB19" s="90">
        <f>I19*CA19</f>
        <v>235.6739</v>
      </c>
      <c r="CC19" s="90">
        <v>0.71072749999999996</v>
      </c>
      <c r="CD19" s="90">
        <f t="shared" si="33"/>
        <v>167.49992176224998</v>
      </c>
      <c r="CE19" s="90">
        <f t="shared" si="34"/>
        <v>253.27699118642167</v>
      </c>
      <c r="CF19" s="90">
        <v>246.1188150397939</v>
      </c>
      <c r="CG19" s="90">
        <v>246.1188150397939</v>
      </c>
      <c r="CH19" s="90">
        <f t="shared" si="35"/>
        <v>257.93</v>
      </c>
      <c r="CI19" s="90">
        <f>I19*0.305908458</f>
        <v>271.95261916200002</v>
      </c>
      <c r="CJ19" s="90">
        <f t="shared" si="36"/>
        <v>272.12</v>
      </c>
      <c r="CK19" s="90">
        <f t="shared" si="37"/>
        <v>289.1283446812887</v>
      </c>
      <c r="CL19" s="90">
        <f t="shared" si="38"/>
        <v>289.1283446812887</v>
      </c>
      <c r="CM19" s="94">
        <v>0.14899999999999999</v>
      </c>
      <c r="CN19" s="90">
        <f t="shared" si="39"/>
        <v>190.16591265699998</v>
      </c>
      <c r="CO19" s="90">
        <f t="shared" si="40"/>
        <v>201.57586741641998</v>
      </c>
      <c r="CP19" s="90"/>
      <c r="CQ19" s="90">
        <v>3.9537000000000003E-2</v>
      </c>
      <c r="CR19" s="90">
        <f>I19*CQ19</f>
        <v>35.148393000000006</v>
      </c>
      <c r="CS19" s="90">
        <v>0.71072749999999996</v>
      </c>
      <c r="CT19" s="90">
        <f t="shared" si="42"/>
        <v>24.980929485907502</v>
      </c>
      <c r="CU19" s="90">
        <f t="shared" si="43"/>
        <v>37.77371708991911</v>
      </c>
      <c r="CV19" s="90">
        <v>76.047175347938833</v>
      </c>
      <c r="CW19" s="90">
        <f t="shared" si="44"/>
        <v>79.7</v>
      </c>
      <c r="CX19" s="90">
        <f>I19*0.094525275</f>
        <v>84.032969475000002</v>
      </c>
      <c r="CY19" s="90">
        <f t="shared" si="45"/>
        <v>84.08</v>
      </c>
      <c r="CZ19" s="90">
        <f t="shared" si="46"/>
        <v>89.340244038932724</v>
      </c>
      <c r="DA19" s="90">
        <f t="shared" si="47"/>
        <v>89.340244038932724</v>
      </c>
      <c r="DB19" s="93">
        <v>1.4169099999999999</v>
      </c>
      <c r="DC19" s="90">
        <f t="shared" si="48"/>
        <v>1259.6329899999998</v>
      </c>
      <c r="DD19" s="90">
        <f t="shared" si="49"/>
        <v>1335.2109693999998</v>
      </c>
      <c r="DE19" s="90"/>
      <c r="DF19" s="90"/>
      <c r="DG19" s="90">
        <v>0.16259999999999999</v>
      </c>
      <c r="DH19" s="90">
        <f>I19*DG19</f>
        <v>144.5514</v>
      </c>
      <c r="DI19" s="90">
        <v>0.71072749999999996</v>
      </c>
      <c r="DJ19" s="90">
        <f t="shared" si="51"/>
        <v>102.73665514349999</v>
      </c>
      <c r="DK19" s="90">
        <f t="shared" si="52"/>
        <v>155.34831673674901</v>
      </c>
      <c r="DL19" s="90">
        <v>122.32789320180883</v>
      </c>
      <c r="DM19" s="90">
        <f t="shared" si="53"/>
        <v>128.19999999999999</v>
      </c>
      <c r="DN19" s="90">
        <f>I19*0.152046929</f>
        <v>135.16971988099999</v>
      </c>
      <c r="DO19" s="90">
        <f t="shared" si="54"/>
        <v>135.25</v>
      </c>
      <c r="DP19" s="90">
        <f t="shared" si="55"/>
        <v>143.70664081358427</v>
      </c>
      <c r="DQ19" s="90">
        <f t="shared" si="56"/>
        <v>143.70664081358427</v>
      </c>
      <c r="DR19" s="93">
        <v>5.6880149999999997E-2</v>
      </c>
      <c r="DS19" s="90">
        <f t="shared" si="57"/>
        <v>50.566453349999996</v>
      </c>
      <c r="DT19" s="90">
        <f t="shared" si="58"/>
        <v>53.600440550999998</v>
      </c>
      <c r="DU19" s="90"/>
      <c r="DV19" s="90">
        <v>6.1574999999999998E-3</v>
      </c>
      <c r="DW19" s="90">
        <f>I19*DV19</f>
        <v>5.4740174999999995</v>
      </c>
      <c r="DX19" s="90">
        <v>0.71072749999999996</v>
      </c>
      <c r="DY19" s="90">
        <f t="shared" si="60"/>
        <v>3.8905347727312494</v>
      </c>
      <c r="DZ19" s="90">
        <f t="shared" si="61"/>
        <v>5.8828859797449695</v>
      </c>
      <c r="EA19" s="90">
        <f t="shared" si="62"/>
        <v>6.17</v>
      </c>
      <c r="EB19" s="90">
        <f>I19*0.007282123</f>
        <v>6.4738073470000002</v>
      </c>
      <c r="EC19" s="90">
        <f t="shared" si="63"/>
        <v>6.51</v>
      </c>
      <c r="ED19" s="90">
        <f t="shared" si="64"/>
        <v>6.8826739297137705</v>
      </c>
      <c r="EE19" s="90">
        <f t="shared" si="65"/>
        <v>6.8826739297137705</v>
      </c>
      <c r="EF19" s="94">
        <v>0.85293354333000004</v>
      </c>
      <c r="EG19" s="90">
        <f t="shared" si="66"/>
        <v>606.60633601629604</v>
      </c>
      <c r="EH19" s="90">
        <f t="shared" si="67"/>
        <v>643.00271617727378</v>
      </c>
      <c r="EI19" s="90"/>
      <c r="EJ19" s="90">
        <v>0.58975</v>
      </c>
      <c r="EK19" s="90">
        <f t="shared" si="68"/>
        <v>419.43020000000001</v>
      </c>
      <c r="EL19" s="90">
        <v>0.71072749999999996</v>
      </c>
      <c r="EM19" s="90">
        <f t="shared" si="69"/>
        <v>298.10057747050001</v>
      </c>
      <c r="EN19" s="90">
        <f t="shared" si="70"/>
        <v>450.75852297907869</v>
      </c>
      <c r="EO19" s="90">
        <v>437.57239146039188</v>
      </c>
      <c r="EP19" s="90">
        <f t="shared" si="71"/>
        <v>458.58</v>
      </c>
      <c r="EQ19" s="90">
        <f>I19*0.543882063</f>
        <v>483.51115400699996</v>
      </c>
      <c r="ER19" s="90">
        <f t="shared" si="72"/>
        <v>483.8</v>
      </c>
      <c r="ES19" s="90">
        <f t="shared" si="73"/>
        <v>514.04829276421754</v>
      </c>
      <c r="ET19" s="90">
        <f t="shared" si="74"/>
        <v>514.04829276421754</v>
      </c>
      <c r="EU19" s="94">
        <v>0.14899999999999999</v>
      </c>
      <c r="EV19" s="90">
        <f t="shared" si="75"/>
        <v>90.384344066428113</v>
      </c>
      <c r="EW19" s="90">
        <f t="shared" si="76"/>
        <v>95.807404710413806</v>
      </c>
      <c r="EX19" s="90"/>
      <c r="EY19" s="90">
        <v>8.7870000000000004E-2</v>
      </c>
      <c r="EZ19" s="90">
        <f t="shared" si="77"/>
        <v>62.493144000000008</v>
      </c>
      <c r="FA19" s="90">
        <v>0.71072749999999996</v>
      </c>
      <c r="FB19" s="90">
        <f t="shared" si="78"/>
        <v>44.415596002260003</v>
      </c>
      <c r="FC19" s="90">
        <f t="shared" si="79"/>
        <v>67.160918040138441</v>
      </c>
      <c r="FD19" s="90">
        <v>135.30449254388927</v>
      </c>
      <c r="FE19" s="90">
        <f t="shared" si="80"/>
        <v>141.80000000000001</v>
      </c>
      <c r="FF19" s="90">
        <f>I19*0.168176712</f>
        <v>149.50909696799999</v>
      </c>
      <c r="FG19" s="90">
        <f t="shared" si="81"/>
        <v>149.6</v>
      </c>
      <c r="FH19" s="90">
        <f t="shared" si="82"/>
        <v>158.95165067486241</v>
      </c>
      <c r="FI19" s="90">
        <f t="shared" si="83"/>
        <v>158.95165067486241</v>
      </c>
      <c r="FJ19" s="93">
        <v>0.49981642240000002</v>
      </c>
      <c r="FK19" s="90">
        <f t="shared" si="84"/>
        <v>355.46943961088004</v>
      </c>
      <c r="FL19" s="90">
        <f t="shared" si="85"/>
        <v>376.79760598753285</v>
      </c>
      <c r="FM19" s="90"/>
      <c r="FN19" s="90">
        <v>0.35812500000000003</v>
      </c>
      <c r="FO19" s="90">
        <f t="shared" si="86"/>
        <v>254.69850000000002</v>
      </c>
      <c r="FP19" s="90">
        <v>0.71072749999999996</v>
      </c>
      <c r="FQ19" s="90">
        <f t="shared" si="87"/>
        <v>181.02122815875001</v>
      </c>
      <c r="FR19" s="90">
        <f t="shared" si="88"/>
        <v>273.72258760810945</v>
      </c>
      <c r="FS19" s="90">
        <v>214.78171630251148</v>
      </c>
      <c r="FT19" s="90">
        <f t="shared" si="89"/>
        <v>225.09</v>
      </c>
      <c r="FU19" s="90">
        <v>214.96053540550696</v>
      </c>
      <c r="FV19" s="90">
        <f t="shared" si="90"/>
        <v>225.28</v>
      </c>
      <c r="FW19" s="90">
        <f>I19*0.267185117</f>
        <v>237.52756901300003</v>
      </c>
      <c r="FX19" s="90">
        <f t="shared" si="91"/>
        <v>237.67</v>
      </c>
      <c r="FY19" s="90">
        <f t="shared" si="92"/>
        <v>252.52910987406059</v>
      </c>
      <c r="FZ19" s="90">
        <f t="shared" si="93"/>
        <v>252.52910987406059</v>
      </c>
      <c r="GA19" s="94">
        <v>1.352261642E-2</v>
      </c>
      <c r="GB19" s="90">
        <f t="shared" si="94"/>
        <v>9.6172847979040004</v>
      </c>
      <c r="GC19" s="90">
        <f t="shared" si="95"/>
        <v>10.19432188577824</v>
      </c>
      <c r="GD19" s="90"/>
      <c r="GE19" s="90">
        <v>1.0749999999999999E-2</v>
      </c>
      <c r="GF19" s="90">
        <f t="shared" si="96"/>
        <v>7.6453999999999995</v>
      </c>
      <c r="GG19" s="90">
        <v>0.71072749999999996</v>
      </c>
      <c r="GH19" s="90">
        <f t="shared" si="97"/>
        <v>5.4337960284999998</v>
      </c>
      <c r="GI19" s="90">
        <f t="shared" si="98"/>
        <v>8.2164546367530242</v>
      </c>
      <c r="GJ19" s="90">
        <f t="shared" si="99"/>
        <v>8.61</v>
      </c>
      <c r="GK19" s="90">
        <f>I19*0.010164136</f>
        <v>9.0359169040000005</v>
      </c>
      <c r="GL19" s="90">
        <f t="shared" si="100"/>
        <v>9.08</v>
      </c>
      <c r="GM19" s="90">
        <f t="shared" si="101"/>
        <v>9.6065987714386605</v>
      </c>
      <c r="GN19" s="90">
        <f t="shared" si="102"/>
        <v>9.6065987714386605</v>
      </c>
      <c r="GO19" s="90">
        <v>3628.8</v>
      </c>
      <c r="GP19" s="90">
        <f t="shared" si="103"/>
        <v>302.40000000000003</v>
      </c>
      <c r="GQ19" s="90">
        <f>2381.4+138.6</f>
        <v>2520</v>
      </c>
      <c r="GR19" s="90">
        <f t="shared" si="104"/>
        <v>210</v>
      </c>
      <c r="GS19" s="90">
        <f t="shared" si="105"/>
        <v>512.40000000000009</v>
      </c>
      <c r="GT19" s="90">
        <f t="shared" si="106"/>
        <v>0.57999999999999996</v>
      </c>
      <c r="GU19" s="90">
        <v>3454.2</v>
      </c>
      <c r="GV19" s="90">
        <f>1881+110.2</f>
        <v>1991.2</v>
      </c>
      <c r="GW19" s="90">
        <f t="shared" si="107"/>
        <v>453.7833333333333</v>
      </c>
      <c r="GX19" s="90">
        <f t="shared" si="108"/>
        <v>0.51</v>
      </c>
      <c r="GY19" s="90">
        <v>6173.1</v>
      </c>
      <c r="GZ19" s="90">
        <f>2000.7+117.8</f>
        <v>2118.5</v>
      </c>
      <c r="HA19" s="90">
        <f t="shared" si="109"/>
        <v>690.9666666666667</v>
      </c>
      <c r="HB19" s="90">
        <f t="shared" si="110"/>
        <v>0.78</v>
      </c>
      <c r="HC19" s="90">
        <v>6173.1</v>
      </c>
      <c r="HD19" s="90">
        <f>2000.7+117.8</f>
        <v>2118.5</v>
      </c>
      <c r="HE19" s="90">
        <f t="shared" si="111"/>
        <v>690.9666666666667</v>
      </c>
      <c r="HF19" s="90">
        <f t="shared" si="112"/>
        <v>0.78</v>
      </c>
      <c r="HG19" s="90"/>
      <c r="HH19" s="90"/>
      <c r="HI19" s="90">
        <v>0.96</v>
      </c>
      <c r="HJ19" s="90">
        <f t="shared" si="113"/>
        <v>853.43999999999994</v>
      </c>
      <c r="HK19" s="90">
        <f t="shared" si="114"/>
        <v>1.0060854893138358</v>
      </c>
      <c r="HL19" s="90">
        <f t="shared" si="115"/>
        <v>894.41</v>
      </c>
      <c r="HM19" s="90">
        <v>1.07</v>
      </c>
      <c r="HN19" s="90">
        <f t="shared" si="116"/>
        <v>951.23</v>
      </c>
      <c r="HO19" s="90">
        <v>1.1499999999999999</v>
      </c>
      <c r="HP19" s="90">
        <f t="shared" si="117"/>
        <v>1022.35</v>
      </c>
      <c r="HQ19" s="90">
        <v>1.1499999999999999</v>
      </c>
      <c r="HR19" s="90">
        <f t="shared" si="118"/>
        <v>1022.35</v>
      </c>
      <c r="HS19" s="90">
        <v>0.31919999999999998</v>
      </c>
      <c r="HT19" s="90">
        <f t="shared" si="119"/>
        <v>283.7688</v>
      </c>
      <c r="HU19" s="90" t="e">
        <f>HT19*#REF!</f>
        <v>#REF!</v>
      </c>
      <c r="HV19" s="90">
        <v>2.83</v>
      </c>
      <c r="HW19" s="90">
        <v>3.1</v>
      </c>
      <c r="HX19" s="90">
        <f t="shared" si="120"/>
        <v>2755.9</v>
      </c>
      <c r="HY19" s="90">
        <v>1.06</v>
      </c>
      <c r="HZ19" s="90">
        <f t="shared" si="121"/>
        <v>2921.2540000000004</v>
      </c>
      <c r="IA19" s="90">
        <f t="shared" si="122"/>
        <v>3.29</v>
      </c>
      <c r="IB19" s="90">
        <f t="shared" si="123"/>
        <v>3.45</v>
      </c>
      <c r="IC19" s="90">
        <f t="shared" si="124"/>
        <v>3067.05</v>
      </c>
      <c r="ID19" s="90">
        <f t="shared" si="125"/>
        <v>3.64</v>
      </c>
      <c r="IE19" s="90">
        <f t="shared" si="126"/>
        <v>3235.96</v>
      </c>
      <c r="IF19" s="90">
        <f t="shared" si="127"/>
        <v>3.64</v>
      </c>
      <c r="IG19" s="92">
        <f t="shared" si="128"/>
        <v>38831.520000000004</v>
      </c>
      <c r="IH19" s="90">
        <v>3.91</v>
      </c>
      <c r="II19" s="90">
        <f t="shared" si="129"/>
        <v>4.1100000000000003</v>
      </c>
      <c r="IJ19" s="90">
        <f t="shared" si="130"/>
        <v>3653.79</v>
      </c>
      <c r="IK19" s="90">
        <f t="shared" si="131"/>
        <v>4.1100000000000003</v>
      </c>
      <c r="IL19" s="90">
        <f t="shared" si="132"/>
        <v>3653.79</v>
      </c>
      <c r="IM19" s="90">
        <f t="shared" si="133"/>
        <v>4.1100000000000003</v>
      </c>
      <c r="IN19" s="90">
        <f t="shared" si="134"/>
        <v>3653.79</v>
      </c>
      <c r="IO19" s="90">
        <f t="shared" si="135"/>
        <v>4.1100000000000003</v>
      </c>
      <c r="IP19" s="93">
        <v>0.37052404126999999</v>
      </c>
      <c r="IQ19" s="90">
        <f t="shared" si="136"/>
        <v>263.51669815122403</v>
      </c>
      <c r="IR19" s="90">
        <f t="shared" si="137"/>
        <v>279.32770004029749</v>
      </c>
      <c r="IS19" s="90">
        <v>108693.96</v>
      </c>
      <c r="IT19" s="90">
        <v>3053.33</v>
      </c>
      <c r="IU19" s="93">
        <v>2.81E-2</v>
      </c>
      <c r="IV19" s="93"/>
      <c r="IW19" s="94">
        <v>1.6976249999999999</v>
      </c>
      <c r="IX19" s="90">
        <f t="shared" si="138"/>
        <v>1207.3509000000001</v>
      </c>
      <c r="IY19" s="93">
        <v>0.56339614052999998</v>
      </c>
      <c r="IZ19" s="90">
        <f t="shared" si="139"/>
        <v>500.85916893116996</v>
      </c>
      <c r="JA19" s="90">
        <f t="shared" si="140"/>
        <v>524.9</v>
      </c>
      <c r="JB19" s="90">
        <f>I19*0.619668325</f>
        <v>550.88514092499997</v>
      </c>
      <c r="JC19" s="90">
        <f t="shared" si="141"/>
        <v>553.77</v>
      </c>
      <c r="JD19" s="90">
        <f t="shared" si="142"/>
        <v>585.6774220302101</v>
      </c>
      <c r="JE19" s="90">
        <f t="shared" si="143"/>
        <v>585.6774220302101</v>
      </c>
      <c r="JF19" s="93">
        <v>4.2278943710000003E-2</v>
      </c>
      <c r="JG19" s="90">
        <f t="shared" si="144"/>
        <v>30.068784766552003</v>
      </c>
      <c r="JH19" s="90">
        <f t="shared" si="145"/>
        <v>31.872911852545126</v>
      </c>
      <c r="JI19" s="20">
        <v>462.98</v>
      </c>
      <c r="JJ19" s="20"/>
      <c r="JK19" s="20">
        <v>6.0624999999999998E-2</v>
      </c>
      <c r="JL19" s="90">
        <f t="shared" si="146"/>
        <v>43.116500000000002</v>
      </c>
      <c r="JM19" s="93">
        <v>6.7347080040000007E-2</v>
      </c>
      <c r="JN19" s="90">
        <f t="shared" si="147"/>
        <v>59.871554155560005</v>
      </c>
      <c r="JO19" s="90">
        <f t="shared" si="148"/>
        <v>62.75</v>
      </c>
      <c r="JP19" s="90">
        <f>I19*0.074078402</f>
        <v>65.855699377999997</v>
      </c>
      <c r="JQ19" s="90">
        <f t="shared" si="149"/>
        <v>66.2</v>
      </c>
      <c r="JR19" s="90">
        <f t="shared" si="150"/>
        <v>70.01495116194225</v>
      </c>
      <c r="JS19" s="90">
        <f t="shared" si="151"/>
        <v>70.01495116194225</v>
      </c>
      <c r="JT19" s="93">
        <v>7.3220517000000002E-3</v>
      </c>
      <c r="JU19" s="90">
        <f t="shared" si="152"/>
        <v>5.2074431690400003</v>
      </c>
      <c r="JV19" s="90">
        <f t="shared" si="153"/>
        <v>5.46</v>
      </c>
      <c r="JW19" s="90">
        <f>I19*0.006440053</f>
        <v>5.7252071170000001</v>
      </c>
      <c r="JX19" s="90">
        <f t="shared" si="154"/>
        <v>5.76</v>
      </c>
      <c r="JY19" s="90">
        <f t="shared" si="155"/>
        <v>6.0867943165852809</v>
      </c>
      <c r="JZ19" s="90">
        <f t="shared" si="156"/>
        <v>6.0867943165852809</v>
      </c>
      <c r="KA19" s="90">
        <v>8.3090999999999998E-3</v>
      </c>
      <c r="KB19" s="90">
        <f t="shared" si="157"/>
        <v>5.9094319200000003</v>
      </c>
      <c r="KC19" s="90" t="e">
        <f>KB19*#REF!</f>
        <v>#REF!</v>
      </c>
      <c r="KD19" s="90">
        <v>34406.519999999997</v>
      </c>
      <c r="KE19" s="90">
        <v>40292.97</v>
      </c>
      <c r="KF19" s="93">
        <v>1.1711</v>
      </c>
      <c r="KG19" s="90">
        <f>I19*KF19</f>
        <v>1041.1079</v>
      </c>
      <c r="KH19" s="90" t="e">
        <f>KG19/(BW19+#REF!)*(CB19+#REF!)</f>
        <v>#REF!</v>
      </c>
      <c r="KI19" s="90">
        <v>0.8</v>
      </c>
      <c r="KJ19" s="94"/>
      <c r="KK19" s="90">
        <f t="shared" si="159"/>
        <v>0</v>
      </c>
      <c r="KL19" s="93">
        <v>1.2690177</v>
      </c>
      <c r="KM19" s="90">
        <f t="shared" si="160"/>
        <v>1128.1567353</v>
      </c>
      <c r="KN19" s="90">
        <f t="shared" si="161"/>
        <v>1195.8461394180001</v>
      </c>
      <c r="KO19" s="90" t="e">
        <f>BW19+CN19+DC19+DS19+EG19+EV19+FK19+GB19+#REF!+#REF!+HJ19+HX19+IQ19+JG19+JU19+KK19+KM19</f>
        <v>#REF!</v>
      </c>
      <c r="KP19" s="90"/>
      <c r="KQ19" s="90">
        <v>0.50815001599999998</v>
      </c>
      <c r="KR19" s="90">
        <f t="shared" si="514"/>
        <v>451.74536422399996</v>
      </c>
      <c r="KS19" s="90">
        <v>0.71072749999999996</v>
      </c>
      <c r="KT19" s="90">
        <f t="shared" si="163"/>
        <v>321.06785335151289</v>
      </c>
      <c r="KU19" s="90">
        <f t="shared" si="164"/>
        <v>485.48739013131654</v>
      </c>
      <c r="KV19" s="90">
        <f t="shared" si="165"/>
        <v>508.79</v>
      </c>
      <c r="KW19" s="90">
        <f>I19*0.600644668</f>
        <v>533.97310985199999</v>
      </c>
      <c r="KX19" s="90">
        <f t="shared" si="166"/>
        <v>536.77</v>
      </c>
      <c r="KY19" s="90">
        <f t="shared" si="167"/>
        <v>567.69727694316384</v>
      </c>
      <c r="KZ19" s="90">
        <f t="shared" si="168"/>
        <v>567.69727694316384</v>
      </c>
      <c r="LA19" s="90">
        <f t="shared" si="169"/>
        <v>3484.882010029</v>
      </c>
      <c r="LB19" s="90">
        <f t="shared" si="170"/>
        <v>3.92</v>
      </c>
      <c r="LC19" s="92">
        <f t="shared" si="171"/>
        <v>41818.584120348001</v>
      </c>
      <c r="LD19" s="92">
        <v>4.21</v>
      </c>
      <c r="LE19" s="92">
        <v>3742.6900000000005</v>
      </c>
      <c r="LF19" s="90">
        <f t="shared" si="172"/>
        <v>4.18</v>
      </c>
      <c r="LG19" s="90">
        <f t="shared" si="173"/>
        <v>3716.02</v>
      </c>
      <c r="LH19" s="90">
        <f t="shared" si="174"/>
        <v>3746.2481607811746</v>
      </c>
      <c r="LI19" s="90">
        <f t="shared" si="175"/>
        <v>4.21</v>
      </c>
      <c r="LJ19" s="90">
        <f t="shared" si="176"/>
        <v>3716.0200000000004</v>
      </c>
      <c r="LK19" s="90">
        <f t="shared" si="177"/>
        <v>4.18</v>
      </c>
      <c r="LL19" s="90">
        <f t="shared" si="178"/>
        <v>3716.0200000000004</v>
      </c>
      <c r="LM19" s="90">
        <f t="shared" si="179"/>
        <v>4.18</v>
      </c>
      <c r="LN19" s="95">
        <v>0.46</v>
      </c>
      <c r="LO19" s="95">
        <f t="shared" si="180"/>
        <v>408.94</v>
      </c>
      <c r="LP19" s="95"/>
      <c r="LQ19" s="95">
        <f t="shared" si="181"/>
        <v>0</v>
      </c>
      <c r="LR19" s="90"/>
      <c r="LS19" s="90"/>
      <c r="LT19" s="90">
        <f t="shared" si="182"/>
        <v>0</v>
      </c>
      <c r="LU19" s="90"/>
      <c r="LV19" s="90">
        <f t="shared" si="183"/>
        <v>0</v>
      </c>
      <c r="LW19" s="90">
        <f t="shared" si="184"/>
        <v>0</v>
      </c>
      <c r="LX19" s="90"/>
      <c r="LY19" s="90"/>
      <c r="LZ19" s="90">
        <f t="shared" si="185"/>
        <v>0</v>
      </c>
      <c r="MA19" s="90"/>
      <c r="MB19" s="90">
        <f t="shared" si="186"/>
        <v>0</v>
      </c>
      <c r="MC19" s="90">
        <f t="shared" si="187"/>
        <v>0</v>
      </c>
      <c r="MD19" s="90"/>
      <c r="ME19" s="90"/>
      <c r="MF19" s="90">
        <f t="shared" si="188"/>
        <v>0</v>
      </c>
      <c r="MG19" s="90"/>
      <c r="MH19" s="90">
        <f t="shared" si="189"/>
        <v>0</v>
      </c>
      <c r="MI19" s="90">
        <f t="shared" si="190"/>
        <v>0</v>
      </c>
      <c r="MJ19" s="90"/>
      <c r="MK19" s="90"/>
      <c r="ML19" s="90">
        <f t="shared" si="191"/>
        <v>0</v>
      </c>
      <c r="MM19" s="90"/>
      <c r="MN19" s="90">
        <f t="shared" si="192"/>
        <v>0</v>
      </c>
      <c r="MO19" s="90">
        <f t="shared" si="193"/>
        <v>0</v>
      </c>
      <c r="MP19" s="90">
        <f t="shared" si="194"/>
        <v>0</v>
      </c>
      <c r="MQ19" s="90">
        <f t="shared" si="195"/>
        <v>0</v>
      </c>
      <c r="MR19" s="90">
        <f t="shared" si="196"/>
        <v>0</v>
      </c>
      <c r="MS19" s="90">
        <f t="shared" si="197"/>
        <v>0</v>
      </c>
      <c r="MT19" s="95"/>
      <c r="MU19" s="95">
        <f t="shared" si="198"/>
        <v>0</v>
      </c>
      <c r="MV19" s="92">
        <f t="shared" si="199"/>
        <v>0</v>
      </c>
      <c r="MW19" s="95"/>
      <c r="MX19" s="95">
        <f t="shared" si="200"/>
        <v>0</v>
      </c>
      <c r="MY19" s="95"/>
      <c r="MZ19" s="95">
        <f t="shared" si="201"/>
        <v>0</v>
      </c>
      <c r="NA19" s="95"/>
      <c r="NB19" s="95">
        <f t="shared" si="202"/>
        <v>0</v>
      </c>
      <c r="NC19" s="92">
        <f t="shared" si="203"/>
        <v>0</v>
      </c>
      <c r="ND19" s="95"/>
      <c r="NE19" s="95">
        <f t="shared" si="204"/>
        <v>0</v>
      </c>
      <c r="NF19" s="95"/>
      <c r="NG19" s="95">
        <f t="shared" si="205"/>
        <v>0</v>
      </c>
      <c r="NH19" s="95"/>
      <c r="NI19" s="95"/>
      <c r="NJ19" s="95">
        <f t="shared" si="206"/>
        <v>0</v>
      </c>
      <c r="NK19" s="92">
        <f t="shared" si="207"/>
        <v>0</v>
      </c>
      <c r="NL19" s="95"/>
      <c r="NM19" s="95">
        <f t="shared" si="208"/>
        <v>0</v>
      </c>
      <c r="NN19" s="95"/>
      <c r="NO19" s="95">
        <f t="shared" si="209"/>
        <v>0</v>
      </c>
      <c r="NP19" s="95"/>
      <c r="NQ19" s="95">
        <f t="shared" si="210"/>
        <v>0</v>
      </c>
      <c r="NR19" s="92">
        <f t="shared" si="211"/>
        <v>0</v>
      </c>
      <c r="NS19" s="95"/>
      <c r="NT19" s="95">
        <f t="shared" si="212"/>
        <v>0</v>
      </c>
      <c r="NU19" s="95"/>
      <c r="NV19" s="95">
        <f t="shared" si="213"/>
        <v>0</v>
      </c>
      <c r="NW19" s="95"/>
      <c r="NX19" s="95">
        <f t="shared" si="214"/>
        <v>0</v>
      </c>
      <c r="NY19" s="92">
        <f t="shared" si="215"/>
        <v>0</v>
      </c>
      <c r="NZ19" s="95"/>
      <c r="OA19" s="95">
        <f t="shared" si="216"/>
        <v>0</v>
      </c>
      <c r="OB19" s="95"/>
      <c r="OC19" s="95">
        <f t="shared" si="217"/>
        <v>0</v>
      </c>
      <c r="OD19" s="90">
        <v>4960.62</v>
      </c>
      <c r="OE19" s="90">
        <f t="shared" si="218"/>
        <v>5.58</v>
      </c>
      <c r="OF19" s="92">
        <f t="shared" si="219"/>
        <v>59527.44</v>
      </c>
      <c r="OG19" s="96">
        <v>982.18</v>
      </c>
      <c r="OH19" s="96">
        <v>1.1100000000000001</v>
      </c>
      <c r="OI19" s="90">
        <v>5919.98</v>
      </c>
      <c r="OJ19" s="90">
        <f t="shared" si="220"/>
        <v>6.66</v>
      </c>
      <c r="OK19" s="90">
        <f t="shared" si="221"/>
        <v>5942.8</v>
      </c>
      <c r="OL19" s="90">
        <f t="shared" si="222"/>
        <v>6.68</v>
      </c>
      <c r="OM19" s="90">
        <f t="shared" si="223"/>
        <v>-1.9999999999999574E-2</v>
      </c>
      <c r="ON19" s="90">
        <v>4937.74</v>
      </c>
      <c r="OO19" s="90">
        <f t="shared" si="224"/>
        <v>5.55</v>
      </c>
      <c r="OP19" s="90">
        <v>4937.7999999999993</v>
      </c>
      <c r="OQ19" s="90">
        <v>5.58</v>
      </c>
      <c r="OR19" s="90">
        <f t="shared" si="225"/>
        <v>-3.0000000000000249E-2</v>
      </c>
      <c r="OS19" s="90">
        <f t="shared" si="226"/>
        <v>5.5600000000000005</v>
      </c>
      <c r="OT19" s="90">
        <v>4937.74</v>
      </c>
      <c r="OU19" s="90">
        <f t="shared" si="227"/>
        <v>5.55</v>
      </c>
      <c r="OV19" s="97">
        <v>4071.62</v>
      </c>
      <c r="OW19" s="90">
        <f t="shared" si="228"/>
        <v>4071.62</v>
      </c>
      <c r="OX19" s="90">
        <f t="shared" si="229"/>
        <v>4.58</v>
      </c>
      <c r="OY19" s="90">
        <f>OU19-1+0.03</f>
        <v>4.58</v>
      </c>
      <c r="OZ19" s="90"/>
      <c r="PA19" s="90"/>
      <c r="PB19" s="95">
        <f t="shared" si="230"/>
        <v>0</v>
      </c>
      <c r="PC19" s="92">
        <f t="shared" si="231"/>
        <v>0</v>
      </c>
      <c r="PD19" s="90"/>
      <c r="PE19" s="95">
        <f t="shared" si="232"/>
        <v>0</v>
      </c>
      <c r="PF19" s="90">
        <f t="shared" si="233"/>
        <v>13176.042010028999</v>
      </c>
      <c r="PG19" s="90">
        <f t="shared" si="234"/>
        <v>14.82</v>
      </c>
      <c r="PH19" s="90">
        <f t="shared" si="235"/>
        <v>14469.016666666666</v>
      </c>
      <c r="PI19" s="90">
        <f t="shared" si="236"/>
        <v>16.28</v>
      </c>
      <c r="PJ19" s="90">
        <f t="shared" si="237"/>
        <v>14469.016666666666</v>
      </c>
      <c r="PK19" s="90">
        <f t="shared" si="238"/>
        <v>16.28</v>
      </c>
      <c r="PL19" s="90"/>
      <c r="PM19" s="90">
        <f t="shared" si="239"/>
        <v>395.28</v>
      </c>
      <c r="PN19" s="90">
        <f t="shared" si="240"/>
        <v>0.44</v>
      </c>
      <c r="PO19" s="92">
        <f t="shared" si="241"/>
        <v>4743.3599999999997</v>
      </c>
      <c r="PP19" s="90">
        <f t="shared" si="242"/>
        <v>434.07</v>
      </c>
      <c r="PQ19" s="90">
        <f t="shared" si="243"/>
        <v>0.49</v>
      </c>
      <c r="PR19" s="90">
        <f t="shared" si="244"/>
        <v>434.07</v>
      </c>
      <c r="PS19" s="90">
        <f t="shared" si="245"/>
        <v>0.49</v>
      </c>
      <c r="PT19" s="90">
        <f t="shared" si="246"/>
        <v>13571.322010029</v>
      </c>
      <c r="PU19" s="90">
        <f t="shared" si="247"/>
        <v>15.27</v>
      </c>
      <c r="PV19" s="90">
        <f t="shared" si="248"/>
        <v>14903.086666666666</v>
      </c>
      <c r="PW19" s="90">
        <f t="shared" si="249"/>
        <v>16.760000000000002</v>
      </c>
      <c r="PX19" s="90">
        <f t="shared" si="250"/>
        <v>14903.086666666666</v>
      </c>
      <c r="PY19" s="90">
        <f t="shared" si="251"/>
        <v>16.760000000000002</v>
      </c>
      <c r="PZ19" s="90">
        <f t="shared" si="252"/>
        <v>137.08000000000001</v>
      </c>
      <c r="QA19" s="90">
        <f t="shared" si="253"/>
        <v>0.15</v>
      </c>
      <c r="QB19" s="92">
        <f t="shared" si="254"/>
        <v>1644.96</v>
      </c>
      <c r="QC19" s="90">
        <f t="shared" si="255"/>
        <v>150.54</v>
      </c>
      <c r="QD19" s="90">
        <f t="shared" si="256"/>
        <v>0.17</v>
      </c>
      <c r="QE19" s="90">
        <f t="shared" si="257"/>
        <v>150.54</v>
      </c>
      <c r="QF19" s="90">
        <f t="shared" si="258"/>
        <v>0.17</v>
      </c>
      <c r="QG19" s="90">
        <f t="shared" si="259"/>
        <v>13708.402010029</v>
      </c>
      <c r="QH19" s="90">
        <f t="shared" si="260"/>
        <v>15.42</v>
      </c>
      <c r="QI19" s="92">
        <f t="shared" si="261"/>
        <v>164500.824120348</v>
      </c>
      <c r="QJ19" s="90">
        <f t="shared" si="262"/>
        <v>549.39310985199995</v>
      </c>
      <c r="QK19" s="98">
        <f t="shared" si="263"/>
        <v>0.21869999999999998</v>
      </c>
      <c r="QL19" s="90">
        <f t="shared" si="264"/>
        <v>194.42429999999999</v>
      </c>
      <c r="QM19" s="90">
        <f t="shared" si="265"/>
        <v>0.14579999999999999</v>
      </c>
      <c r="QN19" s="90">
        <f t="shared" si="266"/>
        <v>129.61619999999999</v>
      </c>
      <c r="QO19" s="90">
        <v>0.21869999999999998</v>
      </c>
      <c r="QP19" s="90">
        <v>0.14579999999999999</v>
      </c>
      <c r="QQ19" s="97">
        <f t="shared" si="267"/>
        <v>324.04049999999995</v>
      </c>
      <c r="QR19" s="97">
        <v>322.54604999999998</v>
      </c>
      <c r="QS19" s="97">
        <f t="shared" si="268"/>
        <v>1.4944499999999721</v>
      </c>
      <c r="QT19" s="90"/>
      <c r="QU19" s="90">
        <f t="shared" si="269"/>
        <v>0.14579999999999999</v>
      </c>
      <c r="QV19" s="90">
        <f t="shared" si="270"/>
        <v>129.61619999999999</v>
      </c>
      <c r="QW19" s="90">
        <f t="shared" si="271"/>
        <v>324.04049999999995</v>
      </c>
      <c r="QX19" s="90">
        <f t="shared" si="272"/>
        <v>0.36449999999999994</v>
      </c>
      <c r="QY19" s="90"/>
      <c r="QZ19" s="90"/>
      <c r="RA19" s="90"/>
      <c r="RB19" s="90">
        <v>3293.2899999999995</v>
      </c>
      <c r="RC19" s="97">
        <f t="shared" si="273"/>
        <v>13708.402010029</v>
      </c>
      <c r="RD19" s="97">
        <f t="shared" si="274"/>
        <v>15.42</v>
      </c>
      <c r="RE19" s="90">
        <f t="shared" si="275"/>
        <v>15053.626666666667</v>
      </c>
      <c r="RF19" s="90">
        <f t="shared" si="276"/>
        <v>16.93</v>
      </c>
      <c r="RG19" s="90">
        <f t="shared" si="277"/>
        <v>109.86372485399092</v>
      </c>
      <c r="RH19" s="90">
        <f t="shared" si="278"/>
        <v>15053.626666666667</v>
      </c>
      <c r="RI19" s="90">
        <f t="shared" si="279"/>
        <v>16.93</v>
      </c>
      <c r="RJ19" s="90">
        <v>16.689999999999998</v>
      </c>
      <c r="RK19" s="90">
        <v>0</v>
      </c>
      <c r="RL19" s="90">
        <f t="shared" si="280"/>
        <v>0.24000000000000199</v>
      </c>
      <c r="RM19" s="90">
        <f t="shared" si="281"/>
        <v>105.87500000000001</v>
      </c>
      <c r="RN19" s="90">
        <f t="shared" si="282"/>
        <v>8856.2320100289999</v>
      </c>
      <c r="RO19" s="90"/>
      <c r="RP19" s="90"/>
      <c r="RQ19" s="99">
        <v>667</v>
      </c>
      <c r="RR19" s="90">
        <f t="shared" si="283"/>
        <v>8747.782010029001</v>
      </c>
      <c r="RS19" s="90">
        <f t="shared" si="284"/>
        <v>9.8400247581878517</v>
      </c>
      <c r="RT19" s="90">
        <f>11.28+3.3</f>
        <v>14.579999999999998</v>
      </c>
      <c r="RU19" s="90">
        <f t="shared" si="285"/>
        <v>12961.619999999999</v>
      </c>
      <c r="RV19" s="90">
        <f t="shared" si="286"/>
        <v>0.61798999983352076</v>
      </c>
      <c r="RW19" s="90">
        <v>10.43</v>
      </c>
      <c r="RX19" s="90">
        <f t="shared" si="287"/>
        <v>10.951499999999999</v>
      </c>
      <c r="RY19" s="90">
        <f t="shared" si="288"/>
        <v>9735.8834999999999</v>
      </c>
      <c r="RZ19" s="90">
        <f t="shared" si="289"/>
        <v>2568.5252584316809</v>
      </c>
      <c r="SA19" s="90">
        <f t="shared" si="290"/>
        <v>1149.1470921759108</v>
      </c>
      <c r="SB19" s="90">
        <f t="shared" si="291"/>
        <v>1737.6277843882297</v>
      </c>
      <c r="SC19" s="90">
        <f t="shared" si="292"/>
        <v>3157.0059506440007</v>
      </c>
      <c r="SD19" s="90">
        <f t="shared" si="293"/>
        <v>3157.0059506439998</v>
      </c>
      <c r="SE19" s="90">
        <f t="shared" si="294"/>
        <v>3198.6437120433779</v>
      </c>
      <c r="SF19" s="90">
        <f t="shared" si="295"/>
        <v>3151.1173808999188</v>
      </c>
      <c r="SG19" s="90">
        <f t="shared" si="296"/>
        <v>5.8885697440819058</v>
      </c>
      <c r="SH19" s="90">
        <f t="shared" si="297"/>
        <v>3151.2962000029142</v>
      </c>
      <c r="SI19" s="90">
        <f t="shared" si="298"/>
        <v>3.5511877959999998</v>
      </c>
      <c r="SJ19" s="90">
        <f t="shared" si="299"/>
        <v>3.5445639830145317</v>
      </c>
      <c r="SK19" s="90"/>
      <c r="SL19" s="90"/>
      <c r="SM19" s="90"/>
      <c r="SN19" s="90">
        <f t="shared" si="300"/>
        <v>3373.61</v>
      </c>
      <c r="SO19" s="90" t="e">
        <f>RU19-#REF!-#REF!-HZ19-LT19-LZ19-MF19-ML19-QL19-QN19-SD19</f>
        <v>#REF!</v>
      </c>
      <c r="SP19" s="90">
        <f t="shared" si="301"/>
        <v>3302.58</v>
      </c>
      <c r="SQ19" s="90">
        <f t="shared" si="302"/>
        <v>3484.882010029</v>
      </c>
      <c r="SR19" s="90">
        <f t="shared" si="303"/>
        <v>3.7149381327334083</v>
      </c>
      <c r="SS19" s="90">
        <f t="shared" si="304"/>
        <v>3.920002261</v>
      </c>
      <c r="ST19" s="90">
        <f t="shared" si="305"/>
        <v>3491.84</v>
      </c>
      <c r="SU19" s="90">
        <v>3.7216521640863371</v>
      </c>
      <c r="SV19" s="90">
        <f t="shared" si="306"/>
        <v>3.93</v>
      </c>
      <c r="SW19" s="90">
        <v>3.92</v>
      </c>
      <c r="SX19" s="90">
        <f t="shared" si="307"/>
        <v>3484.88</v>
      </c>
      <c r="SY19" s="90">
        <v>3.7216521640863371</v>
      </c>
      <c r="SZ19" s="90">
        <f t="shared" si="308"/>
        <v>3308.5487738727538</v>
      </c>
      <c r="TA19" s="90">
        <f t="shared" si="309"/>
        <v>5.9687738727538999</v>
      </c>
      <c r="TB19" s="90">
        <v>0</v>
      </c>
      <c r="TC19" s="90">
        <f t="shared" si="310"/>
        <v>5075.7694999999985</v>
      </c>
      <c r="TD19" s="90" t="e">
        <f>#REF!+#REF!</f>
        <v>#REF!</v>
      </c>
      <c r="TE19" s="90" t="e">
        <f t="shared" si="311"/>
        <v>#REF!</v>
      </c>
      <c r="TF19" s="90">
        <v>4933.9009499999975</v>
      </c>
      <c r="TG19" s="90">
        <f t="shared" si="312"/>
        <v>39.159993118144179</v>
      </c>
      <c r="TH19" s="95"/>
      <c r="TI19" s="95"/>
      <c r="TJ19" s="95"/>
      <c r="TK19" s="95"/>
      <c r="TL19" s="95"/>
      <c r="TM19" s="95">
        <f t="shared" si="313"/>
        <v>0</v>
      </c>
      <c r="TN19" s="95">
        <f t="shared" si="314"/>
        <v>12961.619999999999</v>
      </c>
      <c r="TO19" s="95">
        <f t="shared" si="315"/>
        <v>39.159993118144179</v>
      </c>
      <c r="TP19" s="95"/>
      <c r="TQ19" s="95">
        <f t="shared" si="316"/>
        <v>14.579999999999998</v>
      </c>
      <c r="TR19" s="95"/>
      <c r="TS19" s="95"/>
      <c r="TT19" s="95"/>
      <c r="TU19" s="95"/>
      <c r="TV19" s="95"/>
      <c r="TW19" s="95"/>
      <c r="TX19" s="95"/>
      <c r="TY19" s="95"/>
      <c r="TZ19" s="95">
        <f t="shared" si="317"/>
        <v>2.5</v>
      </c>
      <c r="UA19" s="95">
        <f t="shared" si="318"/>
        <v>0.64151999999999998</v>
      </c>
      <c r="UB19" s="90">
        <v>0</v>
      </c>
      <c r="UC19" s="90">
        <f t="shared" si="319"/>
        <v>0</v>
      </c>
      <c r="UD19" s="90">
        <f t="shared" si="320"/>
        <v>0</v>
      </c>
      <c r="UE19" s="90">
        <f t="shared" si="321"/>
        <v>0</v>
      </c>
      <c r="UF19" s="90">
        <f t="shared" si="322"/>
        <v>12961.619999999999</v>
      </c>
      <c r="UG19" s="91">
        <f t="shared" si="323"/>
        <v>0</v>
      </c>
      <c r="UH19" s="95">
        <f t="shared" si="324"/>
        <v>39.159993118144179</v>
      </c>
      <c r="UI19" s="95">
        <f t="shared" si="325"/>
        <v>12961.619999999999</v>
      </c>
      <c r="UJ19" s="101">
        <f t="shared" si="326"/>
        <v>0</v>
      </c>
      <c r="UK19" s="101">
        <f t="shared" si="327"/>
        <v>39.159993118144179</v>
      </c>
      <c r="UL19" s="90" t="e">
        <f>(#REF!+#REF!+HZ19+LT19+LZ19+MF19+ML19+QL19+QN19+SN19+TC19+TM19+UC19)/I19</f>
        <v>#REF!</v>
      </c>
      <c r="UN19" s="90" t="e">
        <f>#REF!/I19</f>
        <v>#REF!</v>
      </c>
      <c r="UO19" s="90" t="e">
        <f>#REF!/I19</f>
        <v>#REF!</v>
      </c>
      <c r="UP19" s="90">
        <v>1.1499999999999999</v>
      </c>
      <c r="UQ19" s="90" t="e">
        <f t="shared" si="328"/>
        <v>#REF!</v>
      </c>
      <c r="UR19" s="90">
        <f t="shared" si="329"/>
        <v>8747.782010029001</v>
      </c>
      <c r="US19" s="90">
        <f t="shared" si="330"/>
        <v>10335.883333333335</v>
      </c>
      <c r="UT19" s="90">
        <f t="shared" si="331"/>
        <v>10335.883333333335</v>
      </c>
      <c r="UU19" s="90">
        <f t="shared" si="516"/>
        <v>10744.823333333336</v>
      </c>
      <c r="UV19" s="90">
        <f t="shared" si="333"/>
        <v>10573.066666666668</v>
      </c>
      <c r="UW19" s="90">
        <f t="shared" si="334"/>
        <v>5.6</v>
      </c>
      <c r="UX19" s="90">
        <f t="shared" si="335"/>
        <v>3.92</v>
      </c>
      <c r="UY19" s="90">
        <f t="shared" si="336"/>
        <v>3.7948368953880767</v>
      </c>
      <c r="UZ19" s="100">
        <f t="shared" si="337"/>
        <v>3.5511877959999998</v>
      </c>
      <c r="VA19" s="90">
        <f t="shared" si="338"/>
        <v>0.57999999999999996</v>
      </c>
      <c r="VB19" s="90">
        <f t="shared" si="339"/>
        <v>1.1000000000000001</v>
      </c>
      <c r="VC19" s="90">
        <f t="shared" si="340"/>
        <v>0</v>
      </c>
      <c r="VD19" s="90">
        <f t="shared" si="341"/>
        <v>0</v>
      </c>
      <c r="VE19" s="90">
        <f t="shared" si="342"/>
        <v>0</v>
      </c>
      <c r="VF19" s="90">
        <f t="shared" si="343"/>
        <v>0</v>
      </c>
      <c r="VG19" s="90">
        <f t="shared" si="344"/>
        <v>0</v>
      </c>
      <c r="VH19" s="90">
        <f t="shared" si="345"/>
        <v>0</v>
      </c>
      <c r="VI19" s="90">
        <f t="shared" si="346"/>
        <v>0</v>
      </c>
      <c r="VJ19" s="90">
        <f t="shared" si="347"/>
        <v>0</v>
      </c>
      <c r="VK19" s="90">
        <f t="shared" si="348"/>
        <v>1.06</v>
      </c>
      <c r="VL19" s="90">
        <f t="shared" si="349"/>
        <v>3.64</v>
      </c>
      <c r="VM19" s="90">
        <f t="shared" si="350"/>
        <v>5.58</v>
      </c>
      <c r="VN19" s="90">
        <f t="shared" si="351"/>
        <v>0</v>
      </c>
      <c r="VO19" s="90">
        <f t="shared" si="352"/>
        <v>5.58</v>
      </c>
      <c r="VP19" s="97">
        <v>0</v>
      </c>
      <c r="VQ19" s="97">
        <v>5.58</v>
      </c>
      <c r="VR19" s="90">
        <f t="shared" si="353"/>
        <v>0.44</v>
      </c>
      <c r="VS19" s="90">
        <f t="shared" si="354"/>
        <v>0.15</v>
      </c>
      <c r="VT19" s="90">
        <v>0.11989898989898991</v>
      </c>
      <c r="VU19" s="90">
        <f t="shared" si="355"/>
        <v>0.15410000000000001</v>
      </c>
      <c r="VV19" s="90">
        <v>0.38175323599898991</v>
      </c>
      <c r="VW19" s="90">
        <f t="shared" si="356"/>
        <v>0.59</v>
      </c>
      <c r="VX19" s="90">
        <f t="shared" si="357"/>
        <v>15.41</v>
      </c>
      <c r="VY19" s="90">
        <f t="shared" si="358"/>
        <v>15.41</v>
      </c>
      <c r="VZ19" s="90">
        <f t="shared" si="359"/>
        <v>0</v>
      </c>
      <c r="WA19" s="90"/>
      <c r="WB19" s="90">
        <f t="shared" si="360"/>
        <v>15.41</v>
      </c>
      <c r="WC19" s="90">
        <f t="shared" si="361"/>
        <v>0</v>
      </c>
      <c r="WD19" s="90"/>
      <c r="WE19" s="90">
        <v>15.42</v>
      </c>
      <c r="WF19" s="90"/>
      <c r="WG19" s="90">
        <f t="shared" si="362"/>
        <v>13699.49</v>
      </c>
      <c r="WH19" s="90">
        <f t="shared" si="363"/>
        <v>13699.49</v>
      </c>
      <c r="WI19" s="90">
        <f t="shared" si="364"/>
        <v>13708.402010029</v>
      </c>
      <c r="WJ19" s="90">
        <f t="shared" si="365"/>
        <v>8747.782010029001</v>
      </c>
      <c r="WK19" s="97">
        <v>4937.74</v>
      </c>
      <c r="WL19" s="97">
        <v>5.58</v>
      </c>
      <c r="WM19" s="90">
        <f t="shared" si="366"/>
        <v>4960.62</v>
      </c>
      <c r="WN19" s="90">
        <f t="shared" si="367"/>
        <v>5.58</v>
      </c>
      <c r="WO19" s="90"/>
      <c r="WP19" s="97">
        <v>15.42</v>
      </c>
      <c r="WQ19" s="90">
        <f t="shared" si="368"/>
        <v>15.41</v>
      </c>
      <c r="WR19" s="91">
        <f t="shared" si="369"/>
        <v>105.69272976680386</v>
      </c>
      <c r="WS19" s="91">
        <f t="shared" si="370"/>
        <v>136.61347517730499</v>
      </c>
      <c r="WT19" s="90">
        <f t="shared" si="371"/>
        <v>13708.38</v>
      </c>
      <c r="WU19" s="90">
        <f t="shared" si="372"/>
        <v>13708.402010029</v>
      </c>
      <c r="WV19" s="90">
        <f t="shared" si="373"/>
        <v>-2.2010029000739451E-2</v>
      </c>
      <c r="WW19" s="90">
        <v>3.3</v>
      </c>
      <c r="WX19" s="90"/>
      <c r="WY19" s="90"/>
      <c r="WZ19" s="90">
        <f t="shared" si="374"/>
        <v>5.5520434343434344</v>
      </c>
      <c r="XA19" s="90">
        <v>0</v>
      </c>
      <c r="XB19" s="90">
        <f t="shared" si="375"/>
        <v>5.5520434343434344</v>
      </c>
      <c r="XC19" s="90">
        <f t="shared" si="376"/>
        <v>0.46229999999999999</v>
      </c>
      <c r="XD19" s="90">
        <f t="shared" si="377"/>
        <v>0.15565656565656566</v>
      </c>
      <c r="XE19" s="90"/>
      <c r="XF19" s="90">
        <f t="shared" si="378"/>
        <v>15.41</v>
      </c>
      <c r="XG19" s="90">
        <v>5.5756593400384196</v>
      </c>
      <c r="XH19" s="20">
        <v>14.579999999999998</v>
      </c>
      <c r="XI19" s="20">
        <v>0</v>
      </c>
      <c r="XJ19" s="20"/>
      <c r="XK19" s="20"/>
      <c r="XL19" s="20"/>
      <c r="XM19" s="20">
        <f t="shared" si="379"/>
        <v>14.579999999999998</v>
      </c>
      <c r="XN19" s="91">
        <f t="shared" si="380"/>
        <v>105.69272976680386</v>
      </c>
      <c r="XO19" s="20">
        <f t="shared" si="381"/>
        <v>14.579999999999998</v>
      </c>
      <c r="XP19" s="90">
        <f t="shared" si="382"/>
        <v>11.279999999999998</v>
      </c>
      <c r="XQ19" s="91">
        <f t="shared" si="383"/>
        <v>105.69272976680386</v>
      </c>
      <c r="XR19" s="102"/>
      <c r="XS19" s="90">
        <f t="shared" si="384"/>
        <v>3.64</v>
      </c>
      <c r="XT19" s="90">
        <f t="shared" si="385"/>
        <v>5.6</v>
      </c>
      <c r="XU19" s="90">
        <f t="shared" si="386"/>
        <v>3.92</v>
      </c>
      <c r="XV19" s="90">
        <f t="shared" si="387"/>
        <v>0.57999999999999996</v>
      </c>
      <c r="XW19" s="90">
        <f t="shared" si="388"/>
        <v>0.57999999999999996</v>
      </c>
      <c r="XX19" s="90">
        <f t="shared" si="389"/>
        <v>0</v>
      </c>
      <c r="XY19" s="90">
        <f t="shared" si="390"/>
        <v>1.1000000000000001</v>
      </c>
      <c r="XZ19" s="90">
        <f t="shared" si="391"/>
        <v>0</v>
      </c>
      <c r="YA19" s="90">
        <f t="shared" si="392"/>
        <v>0</v>
      </c>
      <c r="YB19" s="90">
        <f t="shared" si="393"/>
        <v>0</v>
      </c>
      <c r="YC19" s="90">
        <f t="shared" si="393"/>
        <v>0</v>
      </c>
      <c r="YD19" s="90">
        <f t="shared" si="394"/>
        <v>1.1000000000000001</v>
      </c>
      <c r="YE19" s="90">
        <f t="shared" si="395"/>
        <v>5.58</v>
      </c>
      <c r="YF19" s="90">
        <f t="shared" si="396"/>
        <v>0.59</v>
      </c>
      <c r="YG19" s="90">
        <f t="shared" si="397"/>
        <v>15.41</v>
      </c>
      <c r="YI19" s="103" t="s">
        <v>472</v>
      </c>
      <c r="YK19" s="90">
        <f t="shared" si="398"/>
        <v>1.07</v>
      </c>
      <c r="YL19" s="90">
        <f t="shared" si="399"/>
        <v>0.57999999999999996</v>
      </c>
      <c r="YM19" s="90">
        <f t="shared" si="399"/>
        <v>1.1000000000000001</v>
      </c>
      <c r="YN19" s="90">
        <f t="shared" si="400"/>
        <v>3.64</v>
      </c>
      <c r="YO19" s="90">
        <f t="shared" si="401"/>
        <v>9.02</v>
      </c>
      <c r="YP19" s="90">
        <f t="shared" si="402"/>
        <v>0</v>
      </c>
      <c r="YQ19" s="90">
        <f t="shared" si="403"/>
        <v>15.41</v>
      </c>
      <c r="YR19" s="90">
        <f t="shared" si="404"/>
        <v>0</v>
      </c>
      <c r="YS19" s="104">
        <f t="shared" si="405"/>
        <v>15.41</v>
      </c>
      <c r="YT19" s="104">
        <f t="shared" si="406"/>
        <v>0</v>
      </c>
      <c r="YY19" s="90">
        <f t="shared" si="407"/>
        <v>6.8599999999999994</v>
      </c>
      <c r="YZ19" s="90">
        <f t="shared" si="408"/>
        <v>4.18</v>
      </c>
      <c r="ZA19" s="90">
        <f t="shared" si="409"/>
        <v>0.51</v>
      </c>
      <c r="ZB19" s="90">
        <f t="shared" si="410"/>
        <v>2.17</v>
      </c>
      <c r="ZC19" s="90">
        <f t="shared" si="411"/>
        <v>0</v>
      </c>
      <c r="ZD19" s="90">
        <f t="shared" si="412"/>
        <v>0</v>
      </c>
      <c r="ZE19" s="90">
        <f t="shared" si="413"/>
        <v>0</v>
      </c>
      <c r="ZF19" s="90">
        <f t="shared" si="414"/>
        <v>0</v>
      </c>
      <c r="ZG19" s="90">
        <f t="shared" si="415"/>
        <v>0</v>
      </c>
      <c r="ZH19" s="90">
        <f t="shared" si="416"/>
        <v>0</v>
      </c>
      <c r="ZI19" s="90">
        <f t="shared" si="417"/>
        <v>0</v>
      </c>
      <c r="ZJ19" s="90">
        <f t="shared" si="418"/>
        <v>0</v>
      </c>
      <c r="ZK19" s="90">
        <f t="shared" si="419"/>
        <v>0</v>
      </c>
      <c r="ZL19" s="90">
        <f t="shared" si="420"/>
        <v>0.01</v>
      </c>
      <c r="ZM19" s="90">
        <f t="shared" si="421"/>
        <v>4.1100000000000003</v>
      </c>
      <c r="ZN19" s="90">
        <f t="shared" si="422"/>
        <v>6.75</v>
      </c>
      <c r="ZO19" s="90">
        <f t="shared" si="423"/>
        <v>6.68</v>
      </c>
      <c r="ZP19" s="90">
        <f t="shared" si="424"/>
        <v>4.58</v>
      </c>
      <c r="ZQ19" s="90">
        <f t="shared" si="425"/>
        <v>0</v>
      </c>
      <c r="ZR19" s="90">
        <f t="shared" si="426"/>
        <v>4.58</v>
      </c>
      <c r="ZS19" s="97">
        <v>227</v>
      </c>
      <c r="ZT19" s="97">
        <v>230.38</v>
      </c>
      <c r="ZU19" s="90">
        <f t="shared" si="427"/>
        <v>0.49</v>
      </c>
      <c r="ZV19" s="90">
        <f t="shared" si="428"/>
        <v>0.17</v>
      </c>
      <c r="ZW19" s="90">
        <v>0.11989898989898991</v>
      </c>
      <c r="ZX19" s="90">
        <f t="shared" si="429"/>
        <v>0.16209999999999997</v>
      </c>
      <c r="ZY19" s="90">
        <v>0.38175323599898991</v>
      </c>
      <c r="ZZ19" s="90">
        <f t="shared" si="430"/>
        <v>0.66</v>
      </c>
      <c r="AAA19" s="90">
        <f t="shared" si="431"/>
        <v>16.209999999999997</v>
      </c>
      <c r="AAB19" s="90">
        <f t="shared" si="432"/>
        <v>16.209999999999997</v>
      </c>
      <c r="AAC19" s="90">
        <f t="shared" si="433"/>
        <v>0</v>
      </c>
      <c r="AAD19" s="90"/>
      <c r="AAE19" s="90">
        <f t="shared" si="434"/>
        <v>16.209999999999997</v>
      </c>
      <c r="AAF19" s="90">
        <v>15.42</v>
      </c>
      <c r="AAG19" s="90">
        <f t="shared" si="435"/>
        <v>105.19143413367942</v>
      </c>
      <c r="AAH19" s="90">
        <f t="shared" si="436"/>
        <v>0</v>
      </c>
      <c r="AAI19" s="90">
        <v>0</v>
      </c>
      <c r="AAJ19" s="90"/>
      <c r="AAK19" s="1">
        <v>16.010000000000002</v>
      </c>
      <c r="AAL19" s="104">
        <f t="shared" si="437"/>
        <v>0.19999999999999574</v>
      </c>
      <c r="AAM19" s="103" t="s">
        <v>473</v>
      </c>
      <c r="AAN19" s="105">
        <v>6.89</v>
      </c>
      <c r="AAO19" s="90">
        <f t="shared" si="438"/>
        <v>7.59</v>
      </c>
      <c r="AAP19" s="90">
        <v>4.21</v>
      </c>
      <c r="AAQ19" s="90">
        <f t="shared" si="439"/>
        <v>4.18</v>
      </c>
      <c r="AAR19" s="90">
        <v>0.51</v>
      </c>
      <c r="AAS19" s="90">
        <f t="shared" si="440"/>
        <v>0.78</v>
      </c>
      <c r="AAT19" s="90">
        <f t="shared" si="441"/>
        <v>152.94117647058826</v>
      </c>
      <c r="AAU19" s="90">
        <v>2.17</v>
      </c>
      <c r="AAV19" s="90">
        <f t="shared" si="442"/>
        <v>2.17</v>
      </c>
      <c r="AAW19" s="90">
        <f t="shared" si="443"/>
        <v>100</v>
      </c>
      <c r="AAX19" s="90">
        <f t="shared" si="444"/>
        <v>0.46</v>
      </c>
      <c r="AAY19" s="90">
        <f t="shared" si="445"/>
        <v>0</v>
      </c>
      <c r="AAZ19" s="90">
        <f t="shared" si="446"/>
        <v>0</v>
      </c>
      <c r="ABA19" s="90">
        <f t="shared" si="447"/>
        <v>0</v>
      </c>
      <c r="ABB19" s="90">
        <f t="shared" si="448"/>
        <v>0</v>
      </c>
      <c r="ABC19" s="90">
        <v>0</v>
      </c>
      <c r="ABD19" s="90">
        <f t="shared" si="449"/>
        <v>0</v>
      </c>
      <c r="ABE19" s="90"/>
      <c r="ABF19" s="90">
        <v>0</v>
      </c>
      <c r="ABG19" s="90">
        <f t="shared" si="450"/>
        <v>0</v>
      </c>
      <c r="ABH19" s="90"/>
      <c r="ABI19" s="90">
        <f t="shared" si="451"/>
        <v>0</v>
      </c>
      <c r="ABJ19" s="90">
        <f t="shared" si="452"/>
        <v>0</v>
      </c>
      <c r="ABK19" s="90">
        <v>0</v>
      </c>
      <c r="ABL19" s="90">
        <f t="shared" si="453"/>
        <v>0</v>
      </c>
      <c r="ABM19" s="90">
        <f t="shared" si="454"/>
        <v>0</v>
      </c>
      <c r="ABN19" s="90">
        <f t="shared" si="455"/>
        <v>0.02</v>
      </c>
      <c r="ABO19" s="90">
        <v>3.91</v>
      </c>
      <c r="ABP19" s="90">
        <f t="shared" si="456"/>
        <v>4.1100000000000003</v>
      </c>
      <c r="ABQ19" s="90">
        <f t="shared" si="457"/>
        <v>105.1150895140665</v>
      </c>
      <c r="ABR19" s="90">
        <f t="shared" si="458"/>
        <v>6.75</v>
      </c>
      <c r="ABS19" s="90">
        <f t="shared" si="459"/>
        <v>6.68</v>
      </c>
      <c r="ABT19" s="90">
        <v>4.58</v>
      </c>
      <c r="ABU19" s="90">
        <f t="shared" si="460"/>
        <v>4.58</v>
      </c>
      <c r="ABV19" s="90">
        <f t="shared" si="461"/>
        <v>100</v>
      </c>
      <c r="ABW19" s="90">
        <f t="shared" si="462"/>
        <v>0</v>
      </c>
      <c r="ABX19" s="90">
        <f t="shared" si="463"/>
        <v>4.58</v>
      </c>
      <c r="ABY19" s="97">
        <v>227</v>
      </c>
      <c r="ABZ19" s="97">
        <v>230.38</v>
      </c>
      <c r="ACA19" s="90">
        <f t="shared" si="464"/>
        <v>0.49</v>
      </c>
      <c r="ACB19" s="90">
        <f t="shared" si="465"/>
        <v>0.17</v>
      </c>
      <c r="ACC19" s="90">
        <v>0.11989898989898991</v>
      </c>
      <c r="ACD19" s="90">
        <f t="shared" si="466"/>
        <v>0.1648</v>
      </c>
      <c r="ACE19" s="90">
        <v>0.38175323599898991</v>
      </c>
      <c r="ACF19" s="90">
        <v>0.62</v>
      </c>
      <c r="ACG19" s="90">
        <f t="shared" si="467"/>
        <v>0.66</v>
      </c>
      <c r="ACH19" s="90">
        <f t="shared" si="468"/>
        <v>106.45161290322582</v>
      </c>
      <c r="ACI19" s="90">
        <f t="shared" si="469"/>
        <v>16.940000000000001</v>
      </c>
      <c r="ACJ19" s="90">
        <f t="shared" si="470"/>
        <v>16.48</v>
      </c>
      <c r="ACK19" s="90">
        <f t="shared" si="471"/>
        <v>-0.46000000000000085</v>
      </c>
      <c r="ACL19" s="90"/>
      <c r="ACM19" s="90">
        <f t="shared" si="472"/>
        <v>16.940000000000001</v>
      </c>
      <c r="ACN19" s="90">
        <f t="shared" si="473"/>
        <v>0</v>
      </c>
      <c r="ACO19" s="90">
        <f t="shared" si="474"/>
        <v>16.940000000000001</v>
      </c>
      <c r="ACP19" s="90">
        <v>16</v>
      </c>
      <c r="ACQ19" s="90">
        <f t="shared" si="475"/>
        <v>105.87500000000001</v>
      </c>
      <c r="ACR19" s="90">
        <f t="shared" si="476"/>
        <v>0</v>
      </c>
      <c r="ACS19" s="90">
        <v>0</v>
      </c>
      <c r="ACT19" s="90"/>
      <c r="ACU19" s="90">
        <f t="shared" si="477"/>
        <v>16.815999999999999</v>
      </c>
      <c r="ACV19" s="90">
        <f t="shared" si="478"/>
        <v>-0.12400000000000233</v>
      </c>
      <c r="ACX19" s="106" t="s">
        <v>440</v>
      </c>
      <c r="ACY19" s="107"/>
      <c r="ACZ19" s="107"/>
      <c r="ADB19" s="90">
        <f t="shared" si="479"/>
        <v>4.1100000000000003</v>
      </c>
      <c r="ADC19" s="90">
        <f t="shared" si="480"/>
        <v>7.59</v>
      </c>
      <c r="ADD19" s="90">
        <f t="shared" si="481"/>
        <v>4.18</v>
      </c>
      <c r="ADE19" s="90">
        <f t="shared" si="517"/>
        <v>1.24</v>
      </c>
      <c r="ADF19" s="90">
        <f t="shared" si="483"/>
        <v>0.78</v>
      </c>
      <c r="ADG19" s="90">
        <f t="shared" si="484"/>
        <v>0.46</v>
      </c>
      <c r="ADH19" s="90">
        <f t="shared" si="484"/>
        <v>0</v>
      </c>
      <c r="ADI19" s="90">
        <f t="shared" si="484"/>
        <v>0</v>
      </c>
      <c r="ADJ19" s="90">
        <f t="shared" si="485"/>
        <v>2.17</v>
      </c>
      <c r="ADK19" s="90">
        <f t="shared" si="486"/>
        <v>0</v>
      </c>
      <c r="ADL19" s="90">
        <f t="shared" si="487"/>
        <v>0</v>
      </c>
      <c r="ADM19" s="90">
        <f t="shared" si="488"/>
        <v>0</v>
      </c>
      <c r="ADN19" s="90">
        <f t="shared" si="488"/>
        <v>0</v>
      </c>
      <c r="ADO19" s="90">
        <f t="shared" si="489"/>
        <v>2.17</v>
      </c>
      <c r="ADP19" s="90">
        <f t="shared" si="490"/>
        <v>4.58</v>
      </c>
      <c r="ADQ19" s="90">
        <f t="shared" si="491"/>
        <v>0.66</v>
      </c>
      <c r="ADR19" s="90">
        <f t="shared" si="492"/>
        <v>16.940000000000001</v>
      </c>
      <c r="ADU19" s="90">
        <f t="shared" si="493"/>
        <v>1.1499999999999999</v>
      </c>
      <c r="ADV19" s="90">
        <f t="shared" si="494"/>
        <v>0.78</v>
      </c>
      <c r="ADW19" s="90">
        <f t="shared" si="495"/>
        <v>2.17</v>
      </c>
      <c r="ADX19" s="90">
        <f t="shared" si="496"/>
        <v>4.1100000000000003</v>
      </c>
      <c r="ADY19" s="90">
        <f t="shared" si="497"/>
        <v>8.27</v>
      </c>
      <c r="ADZ19" s="90">
        <f t="shared" si="498"/>
        <v>0</v>
      </c>
      <c r="AEA19" s="90">
        <f t="shared" si="499"/>
        <v>16.940000000000001</v>
      </c>
      <c r="AEB19" s="90">
        <f t="shared" si="500"/>
        <v>0</v>
      </c>
      <c r="AEC19" s="104">
        <f t="shared" si="501"/>
        <v>16.48</v>
      </c>
      <c r="AED19" s="104">
        <f t="shared" si="502"/>
        <v>0.46000000000000085</v>
      </c>
      <c r="AEG19" s="1">
        <v>6.89</v>
      </c>
      <c r="AEH19" s="1">
        <v>4.21</v>
      </c>
      <c r="AEI19" s="1">
        <v>0.51</v>
      </c>
      <c r="AEJ19" s="1">
        <v>2.17</v>
      </c>
      <c r="AEK19" s="1">
        <v>0</v>
      </c>
      <c r="AEL19" s="1">
        <v>0</v>
      </c>
      <c r="AEM19" s="1">
        <v>0</v>
      </c>
      <c r="AEN19" s="1">
        <v>0</v>
      </c>
      <c r="AEO19" s="1">
        <v>0</v>
      </c>
      <c r="AEP19" s="1">
        <v>0</v>
      </c>
      <c r="AEQ19" s="1">
        <v>0</v>
      </c>
      <c r="AER19" s="1">
        <v>0</v>
      </c>
      <c r="AES19" s="1">
        <v>0</v>
      </c>
      <c r="AET19" s="1">
        <v>0</v>
      </c>
      <c r="AEU19" s="1">
        <v>0</v>
      </c>
      <c r="AEV19" s="1">
        <v>0.02</v>
      </c>
      <c r="AEW19" s="1">
        <v>3.91</v>
      </c>
      <c r="AEX19" s="1">
        <v>6.75</v>
      </c>
      <c r="AEY19" s="1">
        <v>6.68</v>
      </c>
      <c r="AEZ19" s="1">
        <v>4.58</v>
      </c>
      <c r="AFA19" s="1">
        <v>0</v>
      </c>
      <c r="AFB19" s="1">
        <v>4.58</v>
      </c>
      <c r="AFC19" s="1">
        <v>227</v>
      </c>
      <c r="AFD19" s="1">
        <v>230.38</v>
      </c>
      <c r="AFE19" s="1">
        <v>0.46</v>
      </c>
      <c r="AFF19" s="1">
        <v>0.16</v>
      </c>
      <c r="AFG19" s="1">
        <v>0.11989898989898991</v>
      </c>
      <c r="AFH19" s="1">
        <v>0.16</v>
      </c>
      <c r="AFI19" s="1">
        <v>0.38175323599898991</v>
      </c>
      <c r="AFJ19" s="1">
        <v>0.62</v>
      </c>
      <c r="AFK19" s="1">
        <v>16</v>
      </c>
      <c r="AFL19" s="1">
        <v>16</v>
      </c>
      <c r="AFM19" s="1">
        <v>0</v>
      </c>
      <c r="AFO19" s="1">
        <v>16</v>
      </c>
      <c r="AFP19" s="1">
        <v>0</v>
      </c>
      <c r="AFQ19" s="1">
        <v>16</v>
      </c>
      <c r="AFX19" s="1">
        <v>16.690000000000001</v>
      </c>
    </row>
    <row r="20" spans="1:856" s="1" customFormat="1" ht="63.75" customHeight="1">
      <c r="A20" s="88">
        <v>12</v>
      </c>
      <c r="B20" s="20"/>
      <c r="C20" s="89" t="s">
        <v>474</v>
      </c>
      <c r="D20" s="20"/>
      <c r="E20" s="20" t="s">
        <v>437</v>
      </c>
      <c r="F20" s="20" t="s">
        <v>438</v>
      </c>
      <c r="G20" s="20">
        <v>0.8</v>
      </c>
      <c r="H20" s="20">
        <v>412.6</v>
      </c>
      <c r="I20" s="20">
        <f>412.6-1.2</f>
        <v>411.40000000000003</v>
      </c>
      <c r="J20" s="20">
        <f t="shared" si="0"/>
        <v>329.12000000000006</v>
      </c>
      <c r="K20" s="20">
        <v>8</v>
      </c>
      <c r="L20" s="20"/>
      <c r="M20" s="20"/>
      <c r="N20" s="20"/>
      <c r="O20" s="90">
        <f t="shared" si="1"/>
        <v>0</v>
      </c>
      <c r="P20" s="20"/>
      <c r="Q20" s="20"/>
      <c r="R20" s="90">
        <f t="shared" si="2"/>
        <v>0</v>
      </c>
      <c r="S20" s="20">
        <v>33.9</v>
      </c>
      <c r="T20" s="20">
        <v>2.6</v>
      </c>
      <c r="U20" s="20">
        <v>3.13</v>
      </c>
      <c r="V20" s="91">
        <f t="shared" si="3"/>
        <v>275.88</v>
      </c>
      <c r="W20" s="20">
        <v>2.1000000000000001E-2</v>
      </c>
      <c r="X20" s="20">
        <f t="shared" si="4"/>
        <v>33.42</v>
      </c>
      <c r="Y20" s="91">
        <f t="shared" si="5"/>
        <v>23.79</v>
      </c>
      <c r="Z20" s="20"/>
      <c r="AA20" s="20"/>
      <c r="AB20" s="20"/>
      <c r="AC20" s="91">
        <f t="shared" si="6"/>
        <v>299.67</v>
      </c>
      <c r="AD20" s="90">
        <f t="shared" si="7"/>
        <v>0.73</v>
      </c>
      <c r="AE20" s="92">
        <f t="shared" si="8"/>
        <v>3596.04</v>
      </c>
      <c r="AF20" s="20">
        <v>15</v>
      </c>
      <c r="AG20" s="20">
        <v>13</v>
      </c>
      <c r="AH20" s="20">
        <v>13</v>
      </c>
      <c r="AI20" s="20">
        <v>13</v>
      </c>
      <c r="AJ20" s="20">
        <v>1.6</v>
      </c>
      <c r="AK20" s="90">
        <f t="shared" si="9"/>
        <v>1.73</v>
      </c>
      <c r="AL20" s="90">
        <v>391.01</v>
      </c>
      <c r="AM20" s="90">
        <f t="shared" si="10"/>
        <v>676.45</v>
      </c>
      <c r="AN20" s="20">
        <v>15</v>
      </c>
      <c r="AO20" s="20">
        <v>13</v>
      </c>
      <c r="AP20" s="20">
        <v>15</v>
      </c>
      <c r="AQ20" s="20">
        <v>15</v>
      </c>
      <c r="AR20" s="20">
        <v>13</v>
      </c>
      <c r="AS20" s="20">
        <v>15</v>
      </c>
      <c r="AT20" s="20">
        <f t="shared" si="11"/>
        <v>2</v>
      </c>
      <c r="AU20" s="20">
        <v>1.6</v>
      </c>
      <c r="AV20" s="90">
        <f t="shared" si="12"/>
        <v>2</v>
      </c>
      <c r="AW20" s="90">
        <f>ROUND((187.84*6+189.92*6)/12,2)</f>
        <v>188.88</v>
      </c>
      <c r="AX20" s="90">
        <v>377.76</v>
      </c>
      <c r="AY20" s="90">
        <f t="shared" si="14"/>
        <v>0.92</v>
      </c>
      <c r="AZ20" s="90">
        <f t="shared" si="15"/>
        <v>782.02</v>
      </c>
      <c r="BA20" s="90">
        <f t="shared" si="16"/>
        <v>-404.26</v>
      </c>
      <c r="BB20" s="90">
        <v>377.76</v>
      </c>
      <c r="BC20" s="90">
        <v>0.92</v>
      </c>
      <c r="BD20" s="92">
        <f t="shared" si="17"/>
        <v>4533.12</v>
      </c>
      <c r="BE20" s="90"/>
      <c r="BF20" s="90">
        <f t="shared" si="18"/>
        <v>0</v>
      </c>
      <c r="BG20" s="90">
        <v>391.01</v>
      </c>
      <c r="BH20" s="90">
        <f t="shared" si="19"/>
        <v>782.02</v>
      </c>
      <c r="BI20" s="90">
        <f t="shared" si="20"/>
        <v>1.9</v>
      </c>
      <c r="BJ20" s="90">
        <f t="shared" si="21"/>
        <v>206.52173913043475</v>
      </c>
      <c r="BK20" s="90">
        <f t="shared" si="22"/>
        <v>782.02</v>
      </c>
      <c r="BL20" s="90">
        <f t="shared" si="23"/>
        <v>1.9</v>
      </c>
      <c r="BM20" s="90"/>
      <c r="BN20" s="90">
        <f t="shared" si="24"/>
        <v>0</v>
      </c>
      <c r="BO20" s="90">
        <f t="shared" si="25"/>
        <v>782.02</v>
      </c>
      <c r="BP20" s="90">
        <f t="shared" si="26"/>
        <v>1.9008750607681086</v>
      </c>
      <c r="BQ20" s="90"/>
      <c r="BR20" s="90">
        <f t="shared" si="27"/>
        <v>0</v>
      </c>
      <c r="BS20" s="90">
        <f t="shared" si="28"/>
        <v>782.02</v>
      </c>
      <c r="BT20" s="90">
        <f t="shared" si="29"/>
        <v>1.9008750607681086</v>
      </c>
      <c r="BU20" s="90"/>
      <c r="BV20" s="93">
        <v>1.4356370000000001</v>
      </c>
      <c r="BW20" s="90">
        <f t="shared" si="30"/>
        <v>590.62106180000012</v>
      </c>
      <c r="BX20" s="90">
        <f t="shared" si="31"/>
        <v>626.05832550800017</v>
      </c>
      <c r="BY20" s="90"/>
      <c r="BZ20" s="90"/>
      <c r="CA20" s="90">
        <v>0.2651</v>
      </c>
      <c r="CB20" s="90">
        <f t="shared" ref="CB20:CB28" si="518">$I20*CA20</f>
        <v>109.06214000000001</v>
      </c>
      <c r="CC20" s="90">
        <v>0.71072749999999996</v>
      </c>
      <c r="CD20" s="90">
        <f t="shared" si="33"/>
        <v>77.51346210685</v>
      </c>
      <c r="CE20" s="90">
        <f t="shared" si="34"/>
        <v>117.20817140272743</v>
      </c>
      <c r="CF20" s="90">
        <v>114.75707489173107</v>
      </c>
      <c r="CG20" s="90">
        <v>114.75707489173107</v>
      </c>
      <c r="CH20" s="90">
        <f t="shared" si="35"/>
        <v>120.27</v>
      </c>
      <c r="CI20" s="90">
        <f>I20*0.305915301</f>
        <v>125.8535548314</v>
      </c>
      <c r="CJ20" s="90">
        <f t="shared" si="36"/>
        <v>126.88</v>
      </c>
      <c r="CK20" s="90">
        <f t="shared" si="37"/>
        <v>133.80221327995361</v>
      </c>
      <c r="CL20" s="90">
        <f t="shared" si="38"/>
        <v>133.80221327995361</v>
      </c>
      <c r="CM20" s="94">
        <v>0.14899999999999999</v>
      </c>
      <c r="CN20" s="90">
        <f t="shared" si="39"/>
        <v>88.002538208200008</v>
      </c>
      <c r="CO20" s="90">
        <f t="shared" si="40"/>
        <v>93.282690500692013</v>
      </c>
      <c r="CP20" s="90"/>
      <c r="CQ20" s="90">
        <v>3.9539251999999997E-2</v>
      </c>
      <c r="CR20" s="90">
        <f t="shared" ref="CR20:CR28" si="519">$I20*CQ20</f>
        <v>16.266448272800002</v>
      </c>
      <c r="CS20" s="90">
        <v>0.71072749999999996</v>
      </c>
      <c r="CT20" s="90">
        <f t="shared" si="42"/>
        <v>11.561012114806463</v>
      </c>
      <c r="CU20" s="90">
        <f t="shared" si="43"/>
        <v>17.481416165792655</v>
      </c>
      <c r="CV20" s="90">
        <v>35.460305935464618</v>
      </c>
      <c r="CW20" s="90">
        <f t="shared" si="44"/>
        <v>37.159999999999997</v>
      </c>
      <c r="CX20" s="90">
        <f>I20*0.094519103</f>
        <v>38.885158974200003</v>
      </c>
      <c r="CY20" s="90">
        <f t="shared" si="45"/>
        <v>39.200000000000003</v>
      </c>
      <c r="CZ20" s="90">
        <f t="shared" si="46"/>
        <v>41.341067731149224</v>
      </c>
      <c r="DA20" s="90">
        <f t="shared" si="47"/>
        <v>41.341067731149224</v>
      </c>
      <c r="DB20" s="93">
        <v>1.4169099999999999</v>
      </c>
      <c r="DC20" s="90">
        <f t="shared" si="48"/>
        <v>582.91677400000003</v>
      </c>
      <c r="DD20" s="90">
        <f t="shared" si="49"/>
        <v>617.89178044000005</v>
      </c>
      <c r="DE20" s="90"/>
      <c r="DF20" s="90"/>
      <c r="DG20" s="90">
        <v>0.1626272</v>
      </c>
      <c r="DH20" s="90">
        <f t="shared" ref="DH20:DH28" si="520">$I20*DG20</f>
        <v>66.904830080000011</v>
      </c>
      <c r="DI20" s="90">
        <v>0.71072749999999996</v>
      </c>
      <c r="DJ20" s="90">
        <f t="shared" si="51"/>
        <v>47.551102620683203</v>
      </c>
      <c r="DK20" s="90">
        <f t="shared" si="52"/>
        <v>71.902062362676858</v>
      </c>
      <c r="DL20" s="90">
        <v>57.046997800183242</v>
      </c>
      <c r="DM20" s="90">
        <f t="shared" si="53"/>
        <v>59.79</v>
      </c>
      <c r="DN20" s="90">
        <f>I20*0.152080118</f>
        <v>62.5657605452</v>
      </c>
      <c r="DO20" s="90">
        <f t="shared" si="54"/>
        <v>63.08</v>
      </c>
      <c r="DP20" s="90">
        <f t="shared" si="55"/>
        <v>66.517288667023919</v>
      </c>
      <c r="DQ20" s="90">
        <f t="shared" si="56"/>
        <v>66.517288667023919</v>
      </c>
      <c r="DR20" s="93">
        <v>5.6880149999999997E-2</v>
      </c>
      <c r="DS20" s="90">
        <f t="shared" si="57"/>
        <v>23.400493709999999</v>
      </c>
      <c r="DT20" s="90">
        <f t="shared" si="58"/>
        <v>24.804523332599999</v>
      </c>
      <c r="DU20" s="90"/>
      <c r="DV20" s="90">
        <v>6.1506E-3</v>
      </c>
      <c r="DW20" s="90">
        <f t="shared" ref="DW20:DW28" si="521">$I20*DV20</f>
        <v>2.5303568400000001</v>
      </c>
      <c r="DX20" s="90">
        <v>0.71072749999999996</v>
      </c>
      <c r="DY20" s="90">
        <f t="shared" si="60"/>
        <v>1.7983941910010999</v>
      </c>
      <c r="DZ20" s="90">
        <f t="shared" si="61"/>
        <v>2.7193533724240488</v>
      </c>
      <c r="EA20" s="90">
        <f t="shared" si="62"/>
        <v>2.85</v>
      </c>
      <c r="EB20" s="90">
        <f>I20*0.007274613</f>
        <v>2.9927757882000003</v>
      </c>
      <c r="EC20" s="90">
        <f t="shared" si="63"/>
        <v>3.01</v>
      </c>
      <c r="ED20" s="90">
        <f t="shared" si="64"/>
        <v>3.1817935126923356</v>
      </c>
      <c r="EE20" s="90">
        <f t="shared" si="65"/>
        <v>3.1817935126923356</v>
      </c>
      <c r="EF20" s="94">
        <v>0.85293354333000004</v>
      </c>
      <c r="EG20" s="90">
        <f t="shared" si="66"/>
        <v>280.71748778076966</v>
      </c>
      <c r="EH20" s="90">
        <f t="shared" si="67"/>
        <v>297.56053704761587</v>
      </c>
      <c r="EI20" s="90"/>
      <c r="EJ20" s="90">
        <v>0.58975</v>
      </c>
      <c r="EK20" s="90">
        <f t="shared" si="68"/>
        <v>194.09852000000004</v>
      </c>
      <c r="EL20" s="90">
        <v>0.71072749999999996</v>
      </c>
      <c r="EM20" s="90">
        <f t="shared" si="69"/>
        <v>137.95115587330002</v>
      </c>
      <c r="EN20" s="90">
        <f t="shared" si="70"/>
        <v>208.59605910149685</v>
      </c>
      <c r="EO20" s="90">
        <v>204.02555444310539</v>
      </c>
      <c r="EP20" s="90">
        <f t="shared" si="71"/>
        <v>213.82</v>
      </c>
      <c r="EQ20" s="90">
        <f>I20*0.543866381</f>
        <v>223.74662914339999</v>
      </c>
      <c r="ER20" s="90">
        <f t="shared" si="72"/>
        <v>225.58</v>
      </c>
      <c r="ES20" s="90">
        <f t="shared" si="73"/>
        <v>237.87801809350651</v>
      </c>
      <c r="ET20" s="90">
        <f t="shared" si="74"/>
        <v>237.87801809350651</v>
      </c>
      <c r="EU20" s="94">
        <v>0.14899999999999999</v>
      </c>
      <c r="EV20" s="90">
        <f t="shared" si="75"/>
        <v>41.826905679334679</v>
      </c>
      <c r="EW20" s="90">
        <f t="shared" si="76"/>
        <v>44.33652002009476</v>
      </c>
      <c r="EX20" s="90"/>
      <c r="EY20" s="90">
        <v>8.7870000000000004E-2</v>
      </c>
      <c r="EZ20" s="90">
        <f t="shared" si="77"/>
        <v>28.919774400000005</v>
      </c>
      <c r="FA20" s="90">
        <v>0.71072749999999996</v>
      </c>
      <c r="FB20" s="90">
        <f t="shared" si="78"/>
        <v>20.554078959876001</v>
      </c>
      <c r="FC20" s="90">
        <f t="shared" si="79"/>
        <v>31.079840124202669</v>
      </c>
      <c r="FD20" s="90">
        <v>63.088016174367844</v>
      </c>
      <c r="FE20" s="90">
        <f t="shared" si="80"/>
        <v>66.12</v>
      </c>
      <c r="FF20" s="90">
        <f>I20*0.168180924</f>
        <v>69.189632133600014</v>
      </c>
      <c r="FG20" s="90">
        <f t="shared" si="81"/>
        <v>69.760000000000005</v>
      </c>
      <c r="FH20" s="90">
        <f t="shared" si="82"/>
        <v>73.559510717862622</v>
      </c>
      <c r="FI20" s="90">
        <f t="shared" si="83"/>
        <v>73.559510717862622</v>
      </c>
      <c r="FJ20" s="93">
        <v>0.49981642240000002</v>
      </c>
      <c r="FK20" s="90">
        <f t="shared" si="84"/>
        <v>164.49958094028804</v>
      </c>
      <c r="FL20" s="90">
        <f t="shared" si="85"/>
        <v>174.36955579670533</v>
      </c>
      <c r="FM20" s="90"/>
      <c r="FN20" s="90">
        <v>0.35812500000000003</v>
      </c>
      <c r="FO20" s="90">
        <f t="shared" si="86"/>
        <v>117.86610000000003</v>
      </c>
      <c r="FP20" s="90">
        <v>0.71072749999999996</v>
      </c>
      <c r="FQ20" s="90">
        <f t="shared" si="87"/>
        <v>83.770678587750012</v>
      </c>
      <c r="FR20" s="90">
        <f t="shared" si="88"/>
        <v>126.66971371890386</v>
      </c>
      <c r="FS20" s="90">
        <v>100.14562072028771</v>
      </c>
      <c r="FT20" s="90">
        <f t="shared" si="89"/>
        <v>104.95</v>
      </c>
      <c r="FU20" s="90">
        <v>100.23049670204905</v>
      </c>
      <c r="FV20" s="90">
        <f t="shared" si="90"/>
        <v>105.04</v>
      </c>
      <c r="FW20" s="90">
        <f>I20*0.267176712</f>
        <v>109.9164993168</v>
      </c>
      <c r="FX20" s="90">
        <f t="shared" si="91"/>
        <v>110.82</v>
      </c>
      <c r="FY20" s="90">
        <f t="shared" si="92"/>
        <v>116.85860525969814</v>
      </c>
      <c r="FZ20" s="90">
        <f t="shared" si="93"/>
        <v>116.85860525969814</v>
      </c>
      <c r="GA20" s="94">
        <v>1.352261642E-2</v>
      </c>
      <c r="GB20" s="90">
        <f t="shared" si="94"/>
        <v>4.4505635161504005</v>
      </c>
      <c r="GC20" s="90">
        <f t="shared" si="95"/>
        <v>4.7175973271194245</v>
      </c>
      <c r="GD20" s="90"/>
      <c r="GE20" s="90">
        <v>1.0749999999999999E-2</v>
      </c>
      <c r="GF20" s="90">
        <f t="shared" si="96"/>
        <v>3.5380400000000005</v>
      </c>
      <c r="GG20" s="90">
        <v>0.71072749999999996</v>
      </c>
      <c r="GH20" s="90">
        <f t="shared" si="97"/>
        <v>2.5145823241</v>
      </c>
      <c r="GI20" s="90">
        <f t="shared" si="98"/>
        <v>3.8023020522951936</v>
      </c>
      <c r="GJ20" s="90">
        <f t="shared" si="99"/>
        <v>3.98</v>
      </c>
      <c r="GK20" s="90">
        <f>I20*0.010174285</f>
        <v>4.1857008490000007</v>
      </c>
      <c r="GL20" s="90">
        <f t="shared" si="100"/>
        <v>4.2</v>
      </c>
      <c r="GM20" s="90">
        <f t="shared" si="101"/>
        <v>4.4500613309990431</v>
      </c>
      <c r="GN20" s="90">
        <f t="shared" si="102"/>
        <v>4.4500613309990431</v>
      </c>
      <c r="GO20" s="90">
        <v>1612.8</v>
      </c>
      <c r="GP20" s="90">
        <f t="shared" si="103"/>
        <v>134.4</v>
      </c>
      <c r="GQ20" s="90">
        <f>1058.4+69.3</f>
        <v>1127.7</v>
      </c>
      <c r="GR20" s="90">
        <f t="shared" si="104"/>
        <v>93.975000000000009</v>
      </c>
      <c r="GS20" s="90">
        <f t="shared" si="105"/>
        <v>228.375</v>
      </c>
      <c r="GT20" s="90">
        <f t="shared" si="106"/>
        <v>0.56000000000000005</v>
      </c>
      <c r="GU20" s="90">
        <v>1535.2</v>
      </c>
      <c r="GV20" s="90">
        <f>836+55.1</f>
        <v>891.1</v>
      </c>
      <c r="GW20" s="90">
        <f t="shared" si="107"/>
        <v>202.19166666666669</v>
      </c>
      <c r="GX20" s="90">
        <f t="shared" si="108"/>
        <v>0.49</v>
      </c>
      <c r="GY20" s="90">
        <v>2743.6</v>
      </c>
      <c r="GZ20" s="90">
        <f>889.2+58.9</f>
        <v>948.1</v>
      </c>
      <c r="HA20" s="90">
        <f t="shared" si="109"/>
        <v>307.64166666666665</v>
      </c>
      <c r="HB20" s="90">
        <f t="shared" si="110"/>
        <v>0.75</v>
      </c>
      <c r="HC20" s="90">
        <v>2743.6</v>
      </c>
      <c r="HD20" s="90">
        <f>889.2+58.9</f>
        <v>948.1</v>
      </c>
      <c r="HE20" s="90">
        <f t="shared" si="111"/>
        <v>307.64166666666665</v>
      </c>
      <c r="HF20" s="90">
        <f t="shared" si="112"/>
        <v>0.75</v>
      </c>
      <c r="HG20" s="90"/>
      <c r="HH20" s="90"/>
      <c r="HI20" s="90">
        <v>0.96</v>
      </c>
      <c r="HJ20" s="90">
        <f t="shared" si="113"/>
        <v>394.94400000000002</v>
      </c>
      <c r="HK20" s="90">
        <f t="shared" si="114"/>
        <v>1.006076810889645</v>
      </c>
      <c r="HL20" s="90">
        <f t="shared" si="115"/>
        <v>413.9</v>
      </c>
      <c r="HM20" s="90">
        <v>1.07</v>
      </c>
      <c r="HN20" s="90">
        <f t="shared" si="116"/>
        <v>440.19800000000004</v>
      </c>
      <c r="HO20" s="90">
        <v>1.1499999999999999</v>
      </c>
      <c r="HP20" s="90">
        <f t="shared" si="117"/>
        <v>473.11</v>
      </c>
      <c r="HQ20" s="90">
        <v>1.1499999999999999</v>
      </c>
      <c r="HR20" s="90">
        <f t="shared" si="118"/>
        <v>473.11</v>
      </c>
      <c r="HS20" s="90">
        <v>0.31919999999999998</v>
      </c>
      <c r="HT20" s="90">
        <f t="shared" si="119"/>
        <v>131.31888000000001</v>
      </c>
      <c r="HU20" s="90" t="e">
        <f>HT20*#REF!</f>
        <v>#REF!</v>
      </c>
      <c r="HV20" s="90">
        <v>2.83</v>
      </c>
      <c r="HW20" s="90">
        <v>3.1</v>
      </c>
      <c r="HX20" s="90">
        <f t="shared" si="120"/>
        <v>1275.3400000000001</v>
      </c>
      <c r="HY20" s="90">
        <v>1.06</v>
      </c>
      <c r="HZ20" s="90">
        <f t="shared" si="121"/>
        <v>1351.8604000000003</v>
      </c>
      <c r="IA20" s="90">
        <f t="shared" si="122"/>
        <v>3.29</v>
      </c>
      <c r="IB20" s="90">
        <f t="shared" si="123"/>
        <v>3.45</v>
      </c>
      <c r="IC20" s="90">
        <f t="shared" si="124"/>
        <v>1419.3300000000002</v>
      </c>
      <c r="ID20" s="90">
        <f t="shared" si="125"/>
        <v>3.64</v>
      </c>
      <c r="IE20" s="90">
        <f t="shared" si="126"/>
        <v>1497.5</v>
      </c>
      <c r="IF20" s="90">
        <f t="shared" si="127"/>
        <v>3.64</v>
      </c>
      <c r="IG20" s="92">
        <f t="shared" si="128"/>
        <v>17970</v>
      </c>
      <c r="IH20" s="90">
        <v>3.91</v>
      </c>
      <c r="II20" s="90">
        <f t="shared" si="129"/>
        <v>4.1100000000000003</v>
      </c>
      <c r="IJ20" s="90">
        <f t="shared" si="130"/>
        <v>1690.85</v>
      </c>
      <c r="IK20" s="90">
        <f t="shared" si="131"/>
        <v>4.1100000000000003</v>
      </c>
      <c r="IL20" s="90">
        <f t="shared" si="132"/>
        <v>1690.85</v>
      </c>
      <c r="IM20" s="90">
        <f t="shared" si="133"/>
        <v>4.1100000000000003</v>
      </c>
      <c r="IN20" s="90">
        <f t="shared" si="134"/>
        <v>1690.85</v>
      </c>
      <c r="IO20" s="90">
        <f t="shared" si="135"/>
        <v>4.1100000000000003</v>
      </c>
      <c r="IP20" s="93">
        <v>0.37052404126999999</v>
      </c>
      <c r="IQ20" s="90">
        <f t="shared" si="136"/>
        <v>121.94687246278242</v>
      </c>
      <c r="IR20" s="90">
        <f t="shared" si="137"/>
        <v>129.26368481054936</v>
      </c>
      <c r="IS20" s="90">
        <v>108693.96</v>
      </c>
      <c r="IT20" s="90">
        <v>3053.33</v>
      </c>
      <c r="IU20" s="94"/>
      <c r="IV20" s="94"/>
      <c r="IW20" s="94">
        <v>1.6976249999999999</v>
      </c>
      <c r="IX20" s="90">
        <f t="shared" si="138"/>
        <v>558.72234000000003</v>
      </c>
      <c r="IY20" s="93">
        <v>0.56339614052999998</v>
      </c>
      <c r="IZ20" s="90">
        <f t="shared" si="139"/>
        <v>231.78117221404202</v>
      </c>
      <c r="JA20" s="90">
        <f t="shared" si="140"/>
        <v>242.91</v>
      </c>
      <c r="JB20" s="90">
        <f>I20*0.619664801</f>
        <v>254.93009913140003</v>
      </c>
      <c r="JC20" s="90">
        <f t="shared" si="141"/>
        <v>256.27</v>
      </c>
      <c r="JD20" s="90">
        <f t="shared" si="142"/>
        <v>271.03097358795401</v>
      </c>
      <c r="JE20" s="90">
        <f t="shared" si="143"/>
        <v>271.03097358795401</v>
      </c>
      <c r="JF20" s="93">
        <v>4.2278943710000003E-2</v>
      </c>
      <c r="JG20" s="90">
        <f t="shared" si="144"/>
        <v>13.914845953835204</v>
      </c>
      <c r="JH20" s="90">
        <f t="shared" si="145"/>
        <v>14.749736711065317</v>
      </c>
      <c r="JI20" s="20">
        <v>462.98</v>
      </c>
      <c r="JJ20" s="20"/>
      <c r="JK20" s="20">
        <v>6.0624999999999998E-2</v>
      </c>
      <c r="JL20" s="90">
        <f t="shared" si="146"/>
        <v>19.952900000000003</v>
      </c>
      <c r="JM20" s="93">
        <v>6.7347080040000007E-2</v>
      </c>
      <c r="JN20" s="90">
        <f t="shared" si="147"/>
        <v>27.706588728456005</v>
      </c>
      <c r="JO20" s="90">
        <f t="shared" si="148"/>
        <v>29.04</v>
      </c>
      <c r="JP20" s="90">
        <f>I20*0.074068792</f>
        <v>30.471901028800001</v>
      </c>
      <c r="JQ20" s="90">
        <f t="shared" si="149"/>
        <v>30.64</v>
      </c>
      <c r="JR20" s="90">
        <f t="shared" si="150"/>
        <v>32.396445265000068</v>
      </c>
      <c r="JS20" s="90">
        <f t="shared" si="151"/>
        <v>32.396445265000068</v>
      </c>
      <c r="JT20" s="93">
        <v>7.3220517000000002E-3</v>
      </c>
      <c r="JU20" s="90">
        <f t="shared" si="152"/>
        <v>2.4098336555040003</v>
      </c>
      <c r="JV20" s="90">
        <f t="shared" si="153"/>
        <v>2.5299999999999998</v>
      </c>
      <c r="JW20" s="90">
        <f>I20*0.006435235</f>
        <v>2.6474556790000001</v>
      </c>
      <c r="JX20" s="90">
        <f t="shared" si="154"/>
        <v>2.67</v>
      </c>
      <c r="JY20" s="90">
        <f t="shared" si="155"/>
        <v>2.8146636770438045</v>
      </c>
      <c r="JZ20" s="90">
        <f t="shared" si="156"/>
        <v>2.8146636770438045</v>
      </c>
      <c r="KA20" s="90">
        <v>8.3090999999999998E-3</v>
      </c>
      <c r="KB20" s="90">
        <f t="shared" si="157"/>
        <v>2.7346909920000004</v>
      </c>
      <c r="KC20" s="90" t="e">
        <f>KB20*#REF!</f>
        <v>#REF!</v>
      </c>
      <c r="KD20" s="90">
        <v>34406.519999999997</v>
      </c>
      <c r="KE20" s="90">
        <v>40292.97</v>
      </c>
      <c r="KF20" s="90"/>
      <c r="KG20" s="90">
        <f t="shared" ref="KG20:KG27" si="522">I20/KD20*KE20</f>
        <v>481.78449485737019</v>
      </c>
      <c r="KH20" s="90" t="e">
        <f>KG20/(BW20+#REF!)*(CB20+#REF!)</f>
        <v>#REF!</v>
      </c>
      <c r="KI20" s="90">
        <v>0.8</v>
      </c>
      <c r="KJ20" s="94"/>
      <c r="KK20" s="90">
        <f t="shared" si="159"/>
        <v>0</v>
      </c>
      <c r="KL20" s="93">
        <v>1.2690177</v>
      </c>
      <c r="KM20" s="90">
        <f t="shared" si="160"/>
        <v>522.07388178000008</v>
      </c>
      <c r="KN20" s="90">
        <f t="shared" si="161"/>
        <v>553.39831468680006</v>
      </c>
      <c r="KO20" s="90" t="e">
        <f>BW20+CN20+DC20+DS20+EG20+EV20+FK20+GB20+#REF!+#REF!+HJ20+HX20+IQ20+JG20+JU20+KK20+KM20</f>
        <v>#REF!</v>
      </c>
      <c r="KP20" s="90"/>
      <c r="KQ20" s="90">
        <v>0.50815001599999998</v>
      </c>
      <c r="KR20" s="90">
        <f t="shared" si="514"/>
        <v>209.0529165824</v>
      </c>
      <c r="KS20" s="90">
        <v>0.71072749999999996</v>
      </c>
      <c r="KT20" s="90">
        <f t="shared" si="163"/>
        <v>148.57965677031768</v>
      </c>
      <c r="KU20" s="90">
        <f t="shared" si="164"/>
        <v>224.66742426867853</v>
      </c>
      <c r="KV20" s="90">
        <f t="shared" si="165"/>
        <v>235.45</v>
      </c>
      <c r="KW20" s="90">
        <f>I20*0.600638888</f>
        <v>247.10283852320001</v>
      </c>
      <c r="KX20" s="90">
        <f t="shared" si="166"/>
        <v>248.4</v>
      </c>
      <c r="KY20" s="90">
        <f t="shared" si="167"/>
        <v>262.70935887711664</v>
      </c>
      <c r="KZ20" s="90">
        <f t="shared" si="168"/>
        <v>262.70935887711664</v>
      </c>
      <c r="LA20" s="90">
        <f t="shared" si="169"/>
        <v>1612.6860059442001</v>
      </c>
      <c r="LB20" s="90">
        <f t="shared" si="170"/>
        <v>3.92</v>
      </c>
      <c r="LC20" s="92">
        <f t="shared" si="171"/>
        <v>19352.2320713304</v>
      </c>
      <c r="LD20" s="92">
        <v>4.21</v>
      </c>
      <c r="LE20" s="92">
        <v>1731.99</v>
      </c>
      <c r="LF20" s="90">
        <f t="shared" si="172"/>
        <v>4.18</v>
      </c>
      <c r="LG20" s="90">
        <f t="shared" si="173"/>
        <v>1719.65</v>
      </c>
      <c r="LH20" s="90">
        <f t="shared" si="174"/>
        <v>1733.6374563900151</v>
      </c>
      <c r="LI20" s="90">
        <f t="shared" si="175"/>
        <v>4.21</v>
      </c>
      <c r="LJ20" s="90">
        <f t="shared" si="176"/>
        <v>1719.65</v>
      </c>
      <c r="LK20" s="90">
        <f t="shared" si="177"/>
        <v>4.18</v>
      </c>
      <c r="LL20" s="90">
        <f t="shared" si="178"/>
        <v>1719.65</v>
      </c>
      <c r="LM20" s="90">
        <f t="shared" si="179"/>
        <v>4.18</v>
      </c>
      <c r="LN20" s="95">
        <v>0.46</v>
      </c>
      <c r="LO20" s="95">
        <f t="shared" si="180"/>
        <v>189.24</v>
      </c>
      <c r="LP20" s="95"/>
      <c r="LQ20" s="95">
        <f t="shared" si="181"/>
        <v>0</v>
      </c>
      <c r="LR20" s="90"/>
      <c r="LS20" s="90"/>
      <c r="LT20" s="90">
        <f t="shared" si="182"/>
        <v>0</v>
      </c>
      <c r="LU20" s="90"/>
      <c r="LV20" s="90">
        <f t="shared" si="183"/>
        <v>0</v>
      </c>
      <c r="LW20" s="90">
        <f t="shared" si="184"/>
        <v>0</v>
      </c>
      <c r="LX20" s="90"/>
      <c r="LY20" s="90"/>
      <c r="LZ20" s="90">
        <f t="shared" si="185"/>
        <v>0</v>
      </c>
      <c r="MA20" s="90"/>
      <c r="MB20" s="90">
        <f t="shared" si="186"/>
        <v>0</v>
      </c>
      <c r="MC20" s="90">
        <f t="shared" si="187"/>
        <v>0</v>
      </c>
      <c r="MD20" s="90"/>
      <c r="ME20" s="90"/>
      <c r="MF20" s="90">
        <f t="shared" si="188"/>
        <v>0</v>
      </c>
      <c r="MG20" s="90"/>
      <c r="MH20" s="90">
        <f t="shared" si="189"/>
        <v>0</v>
      </c>
      <c r="MI20" s="90">
        <f t="shared" si="190"/>
        <v>0</v>
      </c>
      <c r="MJ20" s="90"/>
      <c r="MK20" s="90"/>
      <c r="ML20" s="90">
        <f t="shared" si="191"/>
        <v>0</v>
      </c>
      <c r="MM20" s="90"/>
      <c r="MN20" s="90">
        <f t="shared" si="192"/>
        <v>0</v>
      </c>
      <c r="MO20" s="90">
        <f t="shared" si="193"/>
        <v>0</v>
      </c>
      <c r="MP20" s="90">
        <f t="shared" si="194"/>
        <v>0</v>
      </c>
      <c r="MQ20" s="90">
        <f t="shared" si="195"/>
        <v>0</v>
      </c>
      <c r="MR20" s="90">
        <f t="shared" si="196"/>
        <v>0</v>
      </c>
      <c r="MS20" s="90">
        <f t="shared" si="197"/>
        <v>0</v>
      </c>
      <c r="MT20" s="95"/>
      <c r="MU20" s="95">
        <f t="shared" si="198"/>
        <v>0</v>
      </c>
      <c r="MV20" s="92">
        <f t="shared" si="199"/>
        <v>0</v>
      </c>
      <c r="MW20" s="95"/>
      <c r="MX20" s="95">
        <f t="shared" si="200"/>
        <v>0</v>
      </c>
      <c r="MY20" s="95"/>
      <c r="MZ20" s="95">
        <f t="shared" si="201"/>
        <v>0</v>
      </c>
      <c r="NA20" s="95"/>
      <c r="NB20" s="95">
        <f t="shared" si="202"/>
        <v>0</v>
      </c>
      <c r="NC20" s="92">
        <f t="shared" si="203"/>
        <v>0</v>
      </c>
      <c r="ND20" s="95"/>
      <c r="NE20" s="95">
        <f t="shared" si="204"/>
        <v>0</v>
      </c>
      <c r="NF20" s="95"/>
      <c r="NG20" s="95">
        <f t="shared" si="205"/>
        <v>0</v>
      </c>
      <c r="NH20" s="95"/>
      <c r="NI20" s="95"/>
      <c r="NJ20" s="95">
        <f t="shared" si="206"/>
        <v>0</v>
      </c>
      <c r="NK20" s="92">
        <f t="shared" si="207"/>
        <v>0</v>
      </c>
      <c r="NL20" s="95"/>
      <c r="NM20" s="95">
        <f t="shared" si="208"/>
        <v>0</v>
      </c>
      <c r="NN20" s="95"/>
      <c r="NO20" s="95">
        <f t="shared" si="209"/>
        <v>0</v>
      </c>
      <c r="NP20" s="95"/>
      <c r="NQ20" s="95">
        <f t="shared" si="210"/>
        <v>0</v>
      </c>
      <c r="NR20" s="92">
        <f t="shared" si="211"/>
        <v>0</v>
      </c>
      <c r="NS20" s="95"/>
      <c r="NT20" s="95">
        <f t="shared" si="212"/>
        <v>0</v>
      </c>
      <c r="NU20" s="95"/>
      <c r="NV20" s="95">
        <f t="shared" si="213"/>
        <v>0</v>
      </c>
      <c r="NW20" s="95"/>
      <c r="NX20" s="95">
        <f t="shared" si="214"/>
        <v>0</v>
      </c>
      <c r="NY20" s="92">
        <f t="shared" si="215"/>
        <v>0</v>
      </c>
      <c r="NZ20" s="95"/>
      <c r="OA20" s="95">
        <f t="shared" si="216"/>
        <v>0</v>
      </c>
      <c r="OB20" s="95"/>
      <c r="OC20" s="95">
        <f t="shared" si="217"/>
        <v>0</v>
      </c>
      <c r="OD20" s="90">
        <v>2382.0100000000002</v>
      </c>
      <c r="OE20" s="90">
        <f t="shared" si="218"/>
        <v>5.79</v>
      </c>
      <c r="OF20" s="92">
        <f t="shared" si="219"/>
        <v>28584.120000000003</v>
      </c>
      <c r="OG20" s="96">
        <v>377.76</v>
      </c>
      <c r="OH20" s="96">
        <v>0.92</v>
      </c>
      <c r="OI20" s="90">
        <v>2768.55</v>
      </c>
      <c r="OJ20" s="90">
        <f t="shared" si="220"/>
        <v>6.73</v>
      </c>
      <c r="OK20" s="90">
        <f t="shared" si="221"/>
        <v>2759.7700000000004</v>
      </c>
      <c r="OL20" s="90">
        <f t="shared" si="222"/>
        <v>6.71</v>
      </c>
      <c r="OM20" s="90">
        <f t="shared" si="223"/>
        <v>2.0000000000000462E-2</v>
      </c>
      <c r="ON20" s="90">
        <v>2388.9499999999998</v>
      </c>
      <c r="OO20" s="90">
        <f t="shared" si="224"/>
        <v>5.81</v>
      </c>
      <c r="OP20" s="90">
        <v>2390.79</v>
      </c>
      <c r="OQ20" s="90">
        <v>5.79</v>
      </c>
      <c r="OR20" s="90">
        <f t="shared" si="225"/>
        <v>1.9999999999999574E-2</v>
      </c>
      <c r="OS20" s="90">
        <f t="shared" si="226"/>
        <v>5.8100000000000005</v>
      </c>
      <c r="OT20" s="90">
        <v>2388.9499999999998</v>
      </c>
      <c r="OU20" s="90">
        <f t="shared" si="227"/>
        <v>5.81</v>
      </c>
      <c r="OV20" s="97">
        <v>1970.61</v>
      </c>
      <c r="OW20" s="90">
        <f t="shared" si="228"/>
        <v>1970.61</v>
      </c>
      <c r="OX20" s="90">
        <f t="shared" si="229"/>
        <v>4.79</v>
      </c>
      <c r="OY20" s="90">
        <f>OU20-1-0.02</f>
        <v>4.79</v>
      </c>
      <c r="OZ20" s="90"/>
      <c r="PA20" s="90"/>
      <c r="PB20" s="95">
        <f t="shared" si="230"/>
        <v>0</v>
      </c>
      <c r="PC20" s="92">
        <f t="shared" si="231"/>
        <v>0</v>
      </c>
      <c r="PD20" s="90"/>
      <c r="PE20" s="95">
        <f t="shared" si="232"/>
        <v>0</v>
      </c>
      <c r="PF20" s="90">
        <f t="shared" si="233"/>
        <v>6098.331005944201</v>
      </c>
      <c r="PG20" s="90">
        <f t="shared" si="234"/>
        <v>14.82</v>
      </c>
      <c r="PH20" s="90">
        <f t="shared" si="235"/>
        <v>6660.0116666666663</v>
      </c>
      <c r="PI20" s="90">
        <f t="shared" si="236"/>
        <v>16.190000000000001</v>
      </c>
      <c r="PJ20" s="90">
        <f t="shared" si="237"/>
        <v>6660.0116666666663</v>
      </c>
      <c r="PK20" s="90">
        <f t="shared" si="238"/>
        <v>16.190000000000001</v>
      </c>
      <c r="PL20" s="90"/>
      <c r="PM20" s="90">
        <f t="shared" si="239"/>
        <v>182.95</v>
      </c>
      <c r="PN20" s="90">
        <f t="shared" si="240"/>
        <v>0.44</v>
      </c>
      <c r="PO20" s="92">
        <f t="shared" si="241"/>
        <v>2195.3999999999996</v>
      </c>
      <c r="PP20" s="90">
        <f t="shared" si="242"/>
        <v>199.8</v>
      </c>
      <c r="PQ20" s="90">
        <f t="shared" si="243"/>
        <v>0.49</v>
      </c>
      <c r="PR20" s="90">
        <f t="shared" si="244"/>
        <v>199.8</v>
      </c>
      <c r="PS20" s="90">
        <f t="shared" si="245"/>
        <v>0.49</v>
      </c>
      <c r="PT20" s="90">
        <f t="shared" si="246"/>
        <v>6281.2810059442008</v>
      </c>
      <c r="PU20" s="90">
        <f t="shared" si="247"/>
        <v>15.27</v>
      </c>
      <c r="PV20" s="90">
        <f t="shared" si="248"/>
        <v>6859.8116666666665</v>
      </c>
      <c r="PW20" s="90">
        <f t="shared" si="249"/>
        <v>16.670000000000002</v>
      </c>
      <c r="PX20" s="90">
        <f t="shared" si="250"/>
        <v>6859.8116666666665</v>
      </c>
      <c r="PY20" s="90">
        <f t="shared" si="251"/>
        <v>16.670000000000002</v>
      </c>
      <c r="PZ20" s="90">
        <f t="shared" si="252"/>
        <v>63.45</v>
      </c>
      <c r="QA20" s="90">
        <f t="shared" si="253"/>
        <v>0.15</v>
      </c>
      <c r="QB20" s="92">
        <f t="shared" si="254"/>
        <v>761.40000000000009</v>
      </c>
      <c r="QC20" s="90">
        <f t="shared" si="255"/>
        <v>69.290000000000006</v>
      </c>
      <c r="QD20" s="90">
        <f t="shared" si="256"/>
        <v>0.17</v>
      </c>
      <c r="QE20" s="90">
        <f t="shared" si="257"/>
        <v>69.290000000000006</v>
      </c>
      <c r="QF20" s="90">
        <f t="shared" si="258"/>
        <v>0.17</v>
      </c>
      <c r="QG20" s="90">
        <f t="shared" si="259"/>
        <v>6344.7310059442007</v>
      </c>
      <c r="QH20" s="90">
        <f t="shared" si="260"/>
        <v>15.42</v>
      </c>
      <c r="QI20" s="92">
        <f t="shared" si="261"/>
        <v>76136.772071330401</v>
      </c>
      <c r="QJ20" s="90">
        <f t="shared" si="262"/>
        <v>262.52283852319999</v>
      </c>
      <c r="QK20" s="98">
        <f t="shared" si="263"/>
        <v>0.21869999999999998</v>
      </c>
      <c r="QL20" s="90">
        <f t="shared" si="264"/>
        <v>89.973179999999999</v>
      </c>
      <c r="QM20" s="90">
        <f t="shared" si="265"/>
        <v>0.14579999999999999</v>
      </c>
      <c r="QN20" s="90">
        <f t="shared" si="266"/>
        <v>59.982120000000002</v>
      </c>
      <c r="QO20" s="90">
        <v>0.21869999999999998</v>
      </c>
      <c r="QP20" s="90">
        <v>0.14579999999999999</v>
      </c>
      <c r="QQ20" s="97">
        <f t="shared" si="267"/>
        <v>149.95529999999999</v>
      </c>
      <c r="QR20" s="97">
        <v>150.39269999999999</v>
      </c>
      <c r="QS20" s="97">
        <f t="shared" si="268"/>
        <v>-0.43739999999999668</v>
      </c>
      <c r="QT20" s="90"/>
      <c r="QU20" s="90">
        <f t="shared" si="269"/>
        <v>0.14579999999999999</v>
      </c>
      <c r="QV20" s="90">
        <f t="shared" si="270"/>
        <v>59.982120000000002</v>
      </c>
      <c r="QW20" s="90">
        <f t="shared" si="271"/>
        <v>149.95529999999999</v>
      </c>
      <c r="QX20" s="90">
        <f t="shared" si="272"/>
        <v>0.36449999999999994</v>
      </c>
      <c r="QY20" s="90"/>
      <c r="QZ20" s="90"/>
      <c r="RA20" s="90"/>
      <c r="RB20" s="90">
        <v>1535.58</v>
      </c>
      <c r="RC20" s="97">
        <f t="shared" si="273"/>
        <v>6344.7310059442007</v>
      </c>
      <c r="RD20" s="97">
        <f t="shared" si="274"/>
        <v>15.42</v>
      </c>
      <c r="RE20" s="90">
        <f t="shared" si="275"/>
        <v>6929.1016666666665</v>
      </c>
      <c r="RF20" s="90">
        <f t="shared" si="276"/>
        <v>16.84</v>
      </c>
      <c r="RG20" s="90">
        <f t="shared" si="277"/>
        <v>109.20881971465629</v>
      </c>
      <c r="RH20" s="90">
        <f t="shared" si="278"/>
        <v>6929.1016666666665</v>
      </c>
      <c r="RI20" s="90">
        <f t="shared" si="279"/>
        <v>16.84</v>
      </c>
      <c r="RJ20" s="90">
        <v>16.61</v>
      </c>
      <c r="RK20" s="90">
        <v>0</v>
      </c>
      <c r="RL20" s="90">
        <f t="shared" si="280"/>
        <v>0.23000000000000043</v>
      </c>
      <c r="RM20" s="90">
        <f t="shared" si="281"/>
        <v>105.90823381521058</v>
      </c>
      <c r="RN20" s="90">
        <f t="shared" si="282"/>
        <v>3881.5910059442003</v>
      </c>
      <c r="RO20" s="90"/>
      <c r="RP20" s="90"/>
      <c r="RQ20" s="99">
        <v>674</v>
      </c>
      <c r="RR20" s="90">
        <f t="shared" si="283"/>
        <v>3962.7210059442</v>
      </c>
      <c r="RS20" s="90">
        <f t="shared" si="284"/>
        <v>9.6322824646188607</v>
      </c>
      <c r="RT20" s="90">
        <f>11.28+3.3</f>
        <v>14.579999999999998</v>
      </c>
      <c r="RU20" s="90">
        <f t="shared" si="285"/>
        <v>5998.2119999999995</v>
      </c>
      <c r="RV20" s="90">
        <f t="shared" si="286"/>
        <v>0.63812065756733105</v>
      </c>
      <c r="RW20" s="90">
        <v>10.43</v>
      </c>
      <c r="RX20" s="90">
        <f t="shared" si="287"/>
        <v>10.951499999999999</v>
      </c>
      <c r="RY20" s="90">
        <f t="shared" si="288"/>
        <v>4505.4471000000003</v>
      </c>
      <c r="RZ20" s="90">
        <f t="shared" si="289"/>
        <v>1188.6357181466865</v>
      </c>
      <c r="SA20" s="90">
        <f t="shared" si="290"/>
        <v>531.79412354868441</v>
      </c>
      <c r="SB20" s="90">
        <f t="shared" si="291"/>
        <v>804.12634256919796</v>
      </c>
      <c r="SC20" s="90">
        <f t="shared" si="292"/>
        <v>1460.9679371672</v>
      </c>
      <c r="SD20" s="90">
        <f t="shared" si="293"/>
        <v>1460.9679371672</v>
      </c>
      <c r="SE20" s="90">
        <f t="shared" si="294"/>
        <v>1484.7177491831308</v>
      </c>
      <c r="SF20" s="90">
        <f t="shared" si="295"/>
        <v>1462.5542442565397</v>
      </c>
      <c r="SG20" s="90">
        <f t="shared" si="296"/>
        <v>-1.586307089339698</v>
      </c>
      <c r="SH20" s="90">
        <f t="shared" si="297"/>
        <v>1462.6391202383011</v>
      </c>
      <c r="SI20" s="90">
        <f t="shared" si="298"/>
        <v>3.5512103479999997</v>
      </c>
      <c r="SJ20" s="90">
        <f t="shared" si="299"/>
        <v>3.5550662232779282</v>
      </c>
      <c r="SK20" s="90"/>
      <c r="SL20" s="90"/>
      <c r="SM20" s="90"/>
      <c r="SN20" s="90">
        <f t="shared" si="300"/>
        <v>1565.9800000000002</v>
      </c>
      <c r="SO20" s="90" t="e">
        <f>RU20-#REF!-#REF!-HZ20-LT20-LZ20-MF20-ML20-QL20-QN20-SD20</f>
        <v>#REF!</v>
      </c>
      <c r="SP20" s="90">
        <f t="shared" si="301"/>
        <v>1532.86</v>
      </c>
      <c r="SQ20" s="90">
        <f t="shared" si="302"/>
        <v>1612.6860059442001</v>
      </c>
      <c r="SR20" s="90">
        <f t="shared" si="303"/>
        <v>3.7259601361205634</v>
      </c>
      <c r="SS20" s="90">
        <f t="shared" si="304"/>
        <v>3.9199951529999999</v>
      </c>
      <c r="ST20" s="90">
        <f t="shared" si="305"/>
        <v>1620.7080000000003</v>
      </c>
      <c r="SU20" s="90">
        <v>3.7217159476490544</v>
      </c>
      <c r="SV20" s="90">
        <f t="shared" si="306"/>
        <v>3.94</v>
      </c>
      <c r="SW20" s="90">
        <v>3.92</v>
      </c>
      <c r="SX20" s="90">
        <f t="shared" si="307"/>
        <v>1612.69</v>
      </c>
      <c r="SY20" s="90">
        <v>3.7217159476490544</v>
      </c>
      <c r="SZ20" s="90">
        <f t="shared" si="308"/>
        <v>1531.1139408628212</v>
      </c>
      <c r="TA20" s="90">
        <f t="shared" si="309"/>
        <v>-1.7460591371786904</v>
      </c>
      <c r="TB20" s="90">
        <v>0</v>
      </c>
      <c r="TC20" s="90">
        <f t="shared" si="310"/>
        <v>2424.3316999999988</v>
      </c>
      <c r="TD20" s="90" t="e">
        <f>#REF!+#REF!</f>
        <v>#REF!</v>
      </c>
      <c r="TE20" s="90" t="e">
        <f t="shared" si="311"/>
        <v>#REF!</v>
      </c>
      <c r="TF20" s="90">
        <v>2408.3152999999998</v>
      </c>
      <c r="TG20" s="90">
        <f t="shared" si="312"/>
        <v>40.417572770018786</v>
      </c>
      <c r="TH20" s="95"/>
      <c r="TI20" s="95"/>
      <c r="TJ20" s="95"/>
      <c r="TK20" s="95"/>
      <c r="TL20" s="95"/>
      <c r="TM20" s="95">
        <f t="shared" si="313"/>
        <v>0</v>
      </c>
      <c r="TN20" s="95">
        <f t="shared" si="314"/>
        <v>5998.2119999999995</v>
      </c>
      <c r="TO20" s="95">
        <f t="shared" si="315"/>
        <v>40.417572770018786</v>
      </c>
      <c r="TP20" s="95"/>
      <c r="TQ20" s="95">
        <f t="shared" si="316"/>
        <v>14.579999999999998</v>
      </c>
      <c r="TR20" s="95"/>
      <c r="TS20" s="95"/>
      <c r="TT20" s="95"/>
      <c r="TU20" s="95"/>
      <c r="TV20" s="95"/>
      <c r="TW20" s="95"/>
      <c r="TX20" s="95"/>
      <c r="TY20" s="95"/>
      <c r="TZ20" s="95">
        <f t="shared" si="317"/>
        <v>2.5</v>
      </c>
      <c r="UA20" s="95">
        <f t="shared" si="318"/>
        <v>0.64151999999999998</v>
      </c>
      <c r="UB20" s="90">
        <v>0</v>
      </c>
      <c r="UC20" s="90">
        <f t="shared" si="319"/>
        <v>0</v>
      </c>
      <c r="UD20" s="90">
        <f t="shared" si="320"/>
        <v>0</v>
      </c>
      <c r="UE20" s="90">
        <f t="shared" si="321"/>
        <v>0</v>
      </c>
      <c r="UF20" s="90">
        <f t="shared" si="322"/>
        <v>5998.2119999999995</v>
      </c>
      <c r="UG20" s="91">
        <f t="shared" si="323"/>
        <v>0</v>
      </c>
      <c r="UH20" s="95">
        <f t="shared" si="324"/>
        <v>40.417572770018786</v>
      </c>
      <c r="UI20" s="95">
        <f t="shared" si="325"/>
        <v>5998.2119999999995</v>
      </c>
      <c r="UJ20" s="101">
        <f t="shared" si="326"/>
        <v>0</v>
      </c>
      <c r="UK20" s="101">
        <f t="shared" si="327"/>
        <v>40.417572770018786</v>
      </c>
      <c r="UL20" s="90" t="e">
        <f>(#REF!+#REF!+HZ20+LT20+LZ20+MF20+ML20+QL20+QN20+SN20+TC20+TM20+UC20)/I20</f>
        <v>#REF!</v>
      </c>
      <c r="UN20" s="90" t="e">
        <f>#REF!/I20</f>
        <v>#REF!</v>
      </c>
      <c r="UO20" s="90" t="e">
        <f>#REF!/I20</f>
        <v>#REF!</v>
      </c>
      <c r="UP20" s="90">
        <v>1.1499999999999999</v>
      </c>
      <c r="UQ20" s="90" t="e">
        <f t="shared" si="328"/>
        <v>#REF!</v>
      </c>
      <c r="UR20" s="90">
        <f t="shared" si="329"/>
        <v>3962.7210059442</v>
      </c>
      <c r="US20" s="90">
        <f t="shared" si="330"/>
        <v>4663.8016666666663</v>
      </c>
      <c r="UT20" s="90">
        <f t="shared" si="331"/>
        <v>4663.8016666666663</v>
      </c>
      <c r="UU20" s="90">
        <f t="shared" si="516"/>
        <v>4853.0416666666661</v>
      </c>
      <c r="UV20" s="90">
        <f t="shared" si="333"/>
        <v>4769.251666666667</v>
      </c>
      <c r="UW20" s="90">
        <f t="shared" si="334"/>
        <v>5.4</v>
      </c>
      <c r="UX20" s="90">
        <f t="shared" si="335"/>
        <v>3.92</v>
      </c>
      <c r="UY20" s="90">
        <f t="shared" si="336"/>
        <v>3.8064657267865827</v>
      </c>
      <c r="UZ20" s="100">
        <f t="shared" si="337"/>
        <v>3.5512103479999997</v>
      </c>
      <c r="VA20" s="90">
        <f t="shared" si="338"/>
        <v>0.56000000000000005</v>
      </c>
      <c r="VB20" s="90">
        <f t="shared" si="339"/>
        <v>0.92</v>
      </c>
      <c r="VC20" s="90">
        <f t="shared" si="340"/>
        <v>0</v>
      </c>
      <c r="VD20" s="90">
        <f t="shared" si="341"/>
        <v>0</v>
      </c>
      <c r="VE20" s="90">
        <f t="shared" si="342"/>
        <v>0</v>
      </c>
      <c r="VF20" s="90">
        <f t="shared" si="343"/>
        <v>0</v>
      </c>
      <c r="VG20" s="90">
        <f t="shared" si="344"/>
        <v>0</v>
      </c>
      <c r="VH20" s="90">
        <f t="shared" si="345"/>
        <v>0</v>
      </c>
      <c r="VI20" s="90">
        <f t="shared" si="346"/>
        <v>0</v>
      </c>
      <c r="VJ20" s="90">
        <f t="shared" si="347"/>
        <v>0</v>
      </c>
      <c r="VK20" s="90">
        <f t="shared" si="348"/>
        <v>0.73</v>
      </c>
      <c r="VL20" s="90">
        <f t="shared" si="349"/>
        <v>3.64</v>
      </c>
      <c r="VM20" s="90">
        <f t="shared" si="350"/>
        <v>5.79</v>
      </c>
      <c r="VN20" s="90">
        <f t="shared" si="351"/>
        <v>0</v>
      </c>
      <c r="VO20" s="90">
        <f t="shared" si="352"/>
        <v>5.79</v>
      </c>
      <c r="VP20" s="97">
        <v>0</v>
      </c>
      <c r="VQ20" s="97">
        <v>5.79</v>
      </c>
      <c r="VR20" s="90">
        <f t="shared" si="353"/>
        <v>0.44</v>
      </c>
      <c r="VS20" s="90">
        <f t="shared" si="354"/>
        <v>0.15</v>
      </c>
      <c r="VT20" s="90">
        <v>0.11989898989898991</v>
      </c>
      <c r="VU20" s="90">
        <f t="shared" si="355"/>
        <v>0.15420000000000003</v>
      </c>
      <c r="VV20" s="90">
        <v>0.38175323599898991</v>
      </c>
      <c r="VW20" s="90">
        <f t="shared" si="356"/>
        <v>0.59</v>
      </c>
      <c r="VX20" s="90">
        <f t="shared" si="357"/>
        <v>15.420000000000002</v>
      </c>
      <c r="VY20" s="90">
        <f t="shared" si="358"/>
        <v>15.420000000000002</v>
      </c>
      <c r="VZ20" s="90">
        <f t="shared" si="359"/>
        <v>0</v>
      </c>
      <c r="WA20" s="90"/>
      <c r="WB20" s="90">
        <f t="shared" si="360"/>
        <v>15.420000000000002</v>
      </c>
      <c r="WC20" s="90">
        <f t="shared" si="361"/>
        <v>0</v>
      </c>
      <c r="WD20" s="90"/>
      <c r="WE20" s="90">
        <v>15.41</v>
      </c>
      <c r="WF20" s="90"/>
      <c r="WG20" s="90">
        <f t="shared" si="362"/>
        <v>6343.7880000000014</v>
      </c>
      <c r="WH20" s="90">
        <f t="shared" si="363"/>
        <v>6343.7880000000014</v>
      </c>
      <c r="WI20" s="90">
        <f t="shared" si="364"/>
        <v>6344.7310059442007</v>
      </c>
      <c r="WJ20" s="90">
        <f t="shared" si="365"/>
        <v>3962.7210059442</v>
      </c>
      <c r="WK20" s="97">
        <v>2388.9499999999998</v>
      </c>
      <c r="WL20" s="97">
        <v>5.79</v>
      </c>
      <c r="WM20" s="90">
        <f t="shared" si="366"/>
        <v>2382.0100000000002</v>
      </c>
      <c r="WN20" s="90">
        <f t="shared" si="367"/>
        <v>5.79</v>
      </c>
      <c r="WO20" s="90"/>
      <c r="WP20" s="97">
        <v>15.41</v>
      </c>
      <c r="WQ20" s="90">
        <f t="shared" si="368"/>
        <v>15.420000000000002</v>
      </c>
      <c r="WR20" s="91">
        <f t="shared" si="369"/>
        <v>105.761316872428</v>
      </c>
      <c r="WS20" s="91">
        <f t="shared" si="370"/>
        <v>136.7021276595745</v>
      </c>
      <c r="WT20" s="90">
        <f t="shared" si="371"/>
        <v>6339.67</v>
      </c>
      <c r="WU20" s="90">
        <f t="shared" si="372"/>
        <v>6344.7310059442007</v>
      </c>
      <c r="WV20" s="90">
        <f t="shared" si="373"/>
        <v>-5.0610059442005877</v>
      </c>
      <c r="WW20" s="90">
        <v>3.3</v>
      </c>
      <c r="WX20" s="90"/>
      <c r="WY20" s="90"/>
      <c r="WZ20" s="90">
        <f t="shared" si="374"/>
        <v>5.7520434343434337</v>
      </c>
      <c r="XA20" s="90">
        <v>0</v>
      </c>
      <c r="XB20" s="90">
        <f t="shared" si="375"/>
        <v>5.7520434343434337</v>
      </c>
      <c r="XC20" s="90">
        <f t="shared" si="376"/>
        <v>0.46229999999999999</v>
      </c>
      <c r="XD20" s="90">
        <f t="shared" si="377"/>
        <v>0.15565656565656566</v>
      </c>
      <c r="XE20" s="90"/>
      <c r="XF20" s="90">
        <f t="shared" si="378"/>
        <v>15.41</v>
      </c>
      <c r="XG20" s="90">
        <v>5.8369251090644685</v>
      </c>
      <c r="XH20" s="20">
        <v>14.579999999999998</v>
      </c>
      <c r="XI20" s="20">
        <v>0</v>
      </c>
      <c r="XJ20" s="20"/>
      <c r="XK20" s="20"/>
      <c r="XL20" s="20"/>
      <c r="XM20" s="20">
        <f t="shared" si="379"/>
        <v>14.579999999999998</v>
      </c>
      <c r="XN20" s="91">
        <f t="shared" si="380"/>
        <v>105.761316872428</v>
      </c>
      <c r="XO20" s="20">
        <f t="shared" si="381"/>
        <v>14.579999999999998</v>
      </c>
      <c r="XP20" s="90">
        <f t="shared" si="382"/>
        <v>11.279999999999998</v>
      </c>
      <c r="XQ20" s="91">
        <f t="shared" si="383"/>
        <v>105.761316872428</v>
      </c>
      <c r="XR20" s="102"/>
      <c r="XS20" s="90">
        <f t="shared" si="384"/>
        <v>3.64</v>
      </c>
      <c r="XT20" s="90">
        <f t="shared" si="385"/>
        <v>5.4</v>
      </c>
      <c r="XU20" s="90">
        <f t="shared" si="386"/>
        <v>3.92</v>
      </c>
      <c r="XV20" s="90">
        <f t="shared" si="387"/>
        <v>0.56000000000000005</v>
      </c>
      <c r="XW20" s="90">
        <f t="shared" si="388"/>
        <v>0.56000000000000005</v>
      </c>
      <c r="XX20" s="90">
        <f t="shared" si="389"/>
        <v>0</v>
      </c>
      <c r="XY20" s="90">
        <f t="shared" si="390"/>
        <v>0.92</v>
      </c>
      <c r="XZ20" s="90">
        <f t="shared" si="391"/>
        <v>0</v>
      </c>
      <c r="YA20" s="90">
        <f t="shared" si="392"/>
        <v>0</v>
      </c>
      <c r="YB20" s="90">
        <f t="shared" si="393"/>
        <v>0</v>
      </c>
      <c r="YC20" s="90">
        <f t="shared" si="393"/>
        <v>0</v>
      </c>
      <c r="YD20" s="90">
        <f t="shared" si="394"/>
        <v>0.92</v>
      </c>
      <c r="YE20" s="90">
        <f t="shared" si="395"/>
        <v>5.79</v>
      </c>
      <c r="YF20" s="90">
        <f t="shared" si="396"/>
        <v>0.59</v>
      </c>
      <c r="YG20" s="90">
        <f t="shared" si="397"/>
        <v>15.420000000000002</v>
      </c>
      <c r="YI20" s="103" t="s">
        <v>439</v>
      </c>
      <c r="YK20" s="90">
        <f t="shared" si="398"/>
        <v>1.07</v>
      </c>
      <c r="YL20" s="90">
        <f t="shared" si="399"/>
        <v>0.56000000000000005</v>
      </c>
      <c r="YM20" s="90">
        <f t="shared" si="399"/>
        <v>0.92</v>
      </c>
      <c r="YN20" s="90">
        <f t="shared" si="400"/>
        <v>3.64</v>
      </c>
      <c r="YO20" s="90">
        <f t="shared" si="401"/>
        <v>9.23</v>
      </c>
      <c r="YP20" s="90">
        <f t="shared" si="402"/>
        <v>0</v>
      </c>
      <c r="YQ20" s="90">
        <f t="shared" si="403"/>
        <v>15.420000000000002</v>
      </c>
      <c r="YR20" s="90">
        <f t="shared" si="404"/>
        <v>0</v>
      </c>
      <c r="YS20" s="104">
        <f t="shared" si="405"/>
        <v>15.420000000000002</v>
      </c>
      <c r="YT20" s="104">
        <f t="shared" si="406"/>
        <v>0</v>
      </c>
      <c r="YY20" s="90">
        <f t="shared" si="407"/>
        <v>6.57</v>
      </c>
      <c r="YZ20" s="90">
        <f t="shared" si="408"/>
        <v>4.18</v>
      </c>
      <c r="ZA20" s="90">
        <f t="shared" si="409"/>
        <v>0.49</v>
      </c>
      <c r="ZB20" s="90">
        <f t="shared" si="410"/>
        <v>1.9</v>
      </c>
      <c r="ZC20" s="90">
        <f t="shared" si="411"/>
        <v>0</v>
      </c>
      <c r="ZD20" s="90">
        <f t="shared" si="412"/>
        <v>0</v>
      </c>
      <c r="ZE20" s="90">
        <f t="shared" si="413"/>
        <v>0</v>
      </c>
      <c r="ZF20" s="90">
        <f t="shared" si="414"/>
        <v>0</v>
      </c>
      <c r="ZG20" s="90">
        <f t="shared" si="415"/>
        <v>0</v>
      </c>
      <c r="ZH20" s="90">
        <f t="shared" si="416"/>
        <v>0</v>
      </c>
      <c r="ZI20" s="90">
        <f t="shared" si="417"/>
        <v>0</v>
      </c>
      <c r="ZJ20" s="90">
        <f t="shared" si="418"/>
        <v>0</v>
      </c>
      <c r="ZK20" s="90">
        <f t="shared" si="419"/>
        <v>0</v>
      </c>
      <c r="ZL20" s="90">
        <f t="shared" si="420"/>
        <v>0.03</v>
      </c>
      <c r="ZM20" s="90">
        <f t="shared" si="421"/>
        <v>4.1100000000000003</v>
      </c>
      <c r="ZN20" s="90">
        <f t="shared" si="422"/>
        <v>6.6899999999999995</v>
      </c>
      <c r="ZO20" s="90">
        <f t="shared" si="423"/>
        <v>6.71</v>
      </c>
      <c r="ZP20" s="90">
        <f t="shared" si="424"/>
        <v>4.79</v>
      </c>
      <c r="ZQ20" s="90">
        <f t="shared" si="425"/>
        <v>0</v>
      </c>
      <c r="ZR20" s="90">
        <f t="shared" si="426"/>
        <v>4.79</v>
      </c>
      <c r="ZS20" s="97">
        <v>227</v>
      </c>
      <c r="ZT20" s="97">
        <v>230.38</v>
      </c>
      <c r="ZU20" s="90">
        <f t="shared" si="427"/>
        <v>0.49</v>
      </c>
      <c r="ZV20" s="90">
        <f t="shared" si="428"/>
        <v>0.17</v>
      </c>
      <c r="ZW20" s="90">
        <v>0.11989898989898991</v>
      </c>
      <c r="ZX20" s="90">
        <f t="shared" si="429"/>
        <v>0.1613</v>
      </c>
      <c r="ZY20" s="90">
        <v>0.38175323599898991</v>
      </c>
      <c r="ZZ20" s="90">
        <f t="shared" si="430"/>
        <v>0.66</v>
      </c>
      <c r="AAA20" s="90">
        <f t="shared" si="431"/>
        <v>16.13</v>
      </c>
      <c r="AAB20" s="90">
        <f t="shared" si="432"/>
        <v>16.13</v>
      </c>
      <c r="AAC20" s="90">
        <f t="shared" si="433"/>
        <v>0</v>
      </c>
      <c r="AAD20" s="90"/>
      <c r="AAE20" s="90">
        <f t="shared" si="434"/>
        <v>16.13</v>
      </c>
      <c r="AAF20" s="90">
        <v>15.41</v>
      </c>
      <c r="AAG20" s="90">
        <f t="shared" si="435"/>
        <v>104.60440985732814</v>
      </c>
      <c r="AAH20" s="90">
        <f t="shared" si="436"/>
        <v>0</v>
      </c>
      <c r="AAI20" s="90">
        <v>0</v>
      </c>
      <c r="AAJ20" s="90"/>
      <c r="AAK20" s="1">
        <v>15.91</v>
      </c>
      <c r="AAL20" s="104">
        <f t="shared" si="437"/>
        <v>0.21999999999999886</v>
      </c>
      <c r="AAM20" s="103" t="s">
        <v>475</v>
      </c>
      <c r="AAN20" s="105">
        <v>6.59</v>
      </c>
      <c r="AAO20" s="90">
        <f t="shared" si="438"/>
        <v>7.29</v>
      </c>
      <c r="AAP20" s="90">
        <v>4.21</v>
      </c>
      <c r="AAQ20" s="90">
        <f t="shared" si="439"/>
        <v>4.18</v>
      </c>
      <c r="AAR20" s="90">
        <v>0.49</v>
      </c>
      <c r="AAS20" s="90">
        <f t="shared" si="440"/>
        <v>0.75</v>
      </c>
      <c r="AAT20" s="90">
        <f t="shared" si="441"/>
        <v>153.0612244897959</v>
      </c>
      <c r="AAU20" s="90">
        <v>1.89</v>
      </c>
      <c r="AAV20" s="90">
        <f t="shared" si="442"/>
        <v>1.9</v>
      </c>
      <c r="AAW20" s="90">
        <f t="shared" si="443"/>
        <v>100.52910052910053</v>
      </c>
      <c r="AAX20" s="90">
        <f t="shared" si="444"/>
        <v>0.46</v>
      </c>
      <c r="AAY20" s="90">
        <f t="shared" si="445"/>
        <v>0</v>
      </c>
      <c r="AAZ20" s="90">
        <f t="shared" si="446"/>
        <v>0</v>
      </c>
      <c r="ABA20" s="90">
        <f t="shared" si="447"/>
        <v>0</v>
      </c>
      <c r="ABB20" s="90">
        <f t="shared" si="448"/>
        <v>0</v>
      </c>
      <c r="ABC20" s="90">
        <v>0</v>
      </c>
      <c r="ABD20" s="90">
        <f t="shared" si="449"/>
        <v>0</v>
      </c>
      <c r="ABE20" s="90"/>
      <c r="ABF20" s="90">
        <v>0</v>
      </c>
      <c r="ABG20" s="90">
        <f t="shared" si="450"/>
        <v>0</v>
      </c>
      <c r="ABH20" s="90"/>
      <c r="ABI20" s="90">
        <f t="shared" si="451"/>
        <v>0</v>
      </c>
      <c r="ABJ20" s="90">
        <f t="shared" si="452"/>
        <v>0</v>
      </c>
      <c r="ABK20" s="90">
        <v>0</v>
      </c>
      <c r="ABL20" s="90">
        <f t="shared" si="453"/>
        <v>0</v>
      </c>
      <c r="ABM20" s="90">
        <f t="shared" si="454"/>
        <v>0</v>
      </c>
      <c r="ABN20" s="90">
        <f t="shared" si="455"/>
        <v>0.02</v>
      </c>
      <c r="ABO20" s="90">
        <v>3.91</v>
      </c>
      <c r="ABP20" s="90">
        <f t="shared" si="456"/>
        <v>4.1100000000000003</v>
      </c>
      <c r="ABQ20" s="90">
        <f t="shared" si="457"/>
        <v>105.1150895140665</v>
      </c>
      <c r="ABR20" s="90">
        <f t="shared" si="458"/>
        <v>6.6899999999999995</v>
      </c>
      <c r="ABS20" s="90">
        <f t="shared" si="459"/>
        <v>6.71</v>
      </c>
      <c r="ABT20" s="90">
        <v>4.79</v>
      </c>
      <c r="ABU20" s="90">
        <f t="shared" si="460"/>
        <v>4.79</v>
      </c>
      <c r="ABV20" s="90">
        <f t="shared" si="461"/>
        <v>100</v>
      </c>
      <c r="ABW20" s="90">
        <f t="shared" si="462"/>
        <v>0.01</v>
      </c>
      <c r="ABX20" s="90">
        <f t="shared" si="463"/>
        <v>4.8</v>
      </c>
      <c r="ABY20" s="97">
        <v>227</v>
      </c>
      <c r="ABZ20" s="97">
        <v>230.38</v>
      </c>
      <c r="ACA20" s="90">
        <f t="shared" si="464"/>
        <v>0.49</v>
      </c>
      <c r="ACB20" s="90">
        <f t="shared" si="465"/>
        <v>0.17</v>
      </c>
      <c r="ACC20" s="90">
        <v>0.11989898989898991</v>
      </c>
      <c r="ACD20" s="90">
        <f t="shared" si="466"/>
        <v>0.16399999999999998</v>
      </c>
      <c r="ACE20" s="90">
        <v>0.38175323599898991</v>
      </c>
      <c r="ACF20" s="90">
        <v>0.62</v>
      </c>
      <c r="ACG20" s="90">
        <f t="shared" si="467"/>
        <v>0.66</v>
      </c>
      <c r="ACH20" s="90">
        <f t="shared" si="468"/>
        <v>106.45161290322582</v>
      </c>
      <c r="ACI20" s="90">
        <f t="shared" si="469"/>
        <v>16.850000000000001</v>
      </c>
      <c r="ACJ20" s="90">
        <f t="shared" si="470"/>
        <v>16.399999999999999</v>
      </c>
      <c r="ACK20" s="90">
        <f t="shared" si="471"/>
        <v>-0.45000000000000284</v>
      </c>
      <c r="ACL20" s="90"/>
      <c r="ACM20" s="90">
        <f t="shared" si="472"/>
        <v>16.850000000000001</v>
      </c>
      <c r="ACN20" s="90">
        <f t="shared" si="473"/>
        <v>0</v>
      </c>
      <c r="ACO20" s="90">
        <f t="shared" si="474"/>
        <v>16.850000000000001</v>
      </c>
      <c r="ACP20" s="90">
        <v>15.909999999999998</v>
      </c>
      <c r="ACQ20" s="90">
        <f t="shared" si="475"/>
        <v>105.90823381521058</v>
      </c>
      <c r="ACR20" s="90">
        <f t="shared" si="476"/>
        <v>0</v>
      </c>
      <c r="ACS20" s="90">
        <v>0</v>
      </c>
      <c r="ACT20" s="90"/>
      <c r="ACU20" s="90">
        <f t="shared" si="477"/>
        <v>16.721409999999999</v>
      </c>
      <c r="ACV20" s="90">
        <f t="shared" si="478"/>
        <v>-0.12859000000000265</v>
      </c>
      <c r="ACX20" s="106" t="s">
        <v>476</v>
      </c>
      <c r="ACY20" s="107">
        <v>93000</v>
      </c>
      <c r="ACZ20" s="107">
        <v>93000</v>
      </c>
      <c r="ADB20" s="90">
        <f t="shared" si="479"/>
        <v>4.1100000000000003</v>
      </c>
      <c r="ADC20" s="90">
        <f t="shared" si="480"/>
        <v>7.2899999999999991</v>
      </c>
      <c r="ADD20" s="90">
        <f t="shared" si="481"/>
        <v>4.18</v>
      </c>
      <c r="ADE20" s="90">
        <f t="shared" si="517"/>
        <v>1.21</v>
      </c>
      <c r="ADF20" s="90">
        <f t="shared" si="483"/>
        <v>0.75</v>
      </c>
      <c r="ADG20" s="90">
        <f t="shared" si="484"/>
        <v>0.46</v>
      </c>
      <c r="ADH20" s="90">
        <f t="shared" si="484"/>
        <v>0</v>
      </c>
      <c r="ADI20" s="90">
        <f t="shared" si="484"/>
        <v>0</v>
      </c>
      <c r="ADJ20" s="90">
        <f t="shared" si="485"/>
        <v>1.9</v>
      </c>
      <c r="ADK20" s="90">
        <f t="shared" si="486"/>
        <v>0</v>
      </c>
      <c r="ADL20" s="90">
        <f t="shared" si="487"/>
        <v>0</v>
      </c>
      <c r="ADM20" s="90">
        <f t="shared" si="488"/>
        <v>0</v>
      </c>
      <c r="ADN20" s="90">
        <f t="shared" si="488"/>
        <v>0</v>
      </c>
      <c r="ADO20" s="90">
        <f t="shared" si="489"/>
        <v>1.9</v>
      </c>
      <c r="ADP20" s="90">
        <f t="shared" si="490"/>
        <v>4.79</v>
      </c>
      <c r="ADQ20" s="90">
        <f t="shared" si="491"/>
        <v>0.66</v>
      </c>
      <c r="ADR20" s="90">
        <f t="shared" si="492"/>
        <v>16.849999999999998</v>
      </c>
      <c r="ADU20" s="90">
        <f t="shared" si="493"/>
        <v>1.1499999999999999</v>
      </c>
      <c r="ADV20" s="90">
        <f t="shared" si="494"/>
        <v>0.75</v>
      </c>
      <c r="ADW20" s="90">
        <f t="shared" si="495"/>
        <v>1.9</v>
      </c>
      <c r="ADX20" s="90">
        <f t="shared" si="496"/>
        <v>4.1100000000000003</v>
      </c>
      <c r="ADY20" s="90">
        <f t="shared" si="497"/>
        <v>8.48</v>
      </c>
      <c r="ADZ20" s="90">
        <f t="shared" si="498"/>
        <v>0</v>
      </c>
      <c r="AEA20" s="90">
        <f t="shared" si="499"/>
        <v>16.850000000000001</v>
      </c>
      <c r="AEB20" s="90">
        <f t="shared" si="500"/>
        <v>0</v>
      </c>
      <c r="AEC20" s="104">
        <f t="shared" si="501"/>
        <v>16.39</v>
      </c>
      <c r="AED20" s="104">
        <f t="shared" si="502"/>
        <v>0.46000000000000085</v>
      </c>
      <c r="AEG20" s="1">
        <v>6.59</v>
      </c>
      <c r="AEH20" s="1">
        <v>4.21</v>
      </c>
      <c r="AEI20" s="1">
        <v>0.49</v>
      </c>
      <c r="AEJ20" s="1">
        <v>1.89</v>
      </c>
      <c r="AEK20" s="1">
        <v>0</v>
      </c>
      <c r="AEL20" s="1">
        <v>0</v>
      </c>
      <c r="AEM20" s="1">
        <v>0</v>
      </c>
      <c r="AEN20" s="1">
        <v>0</v>
      </c>
      <c r="AEO20" s="1">
        <v>0</v>
      </c>
      <c r="AEP20" s="1">
        <v>0</v>
      </c>
      <c r="AEQ20" s="1">
        <v>0</v>
      </c>
      <c r="AER20" s="1">
        <v>0</v>
      </c>
      <c r="AES20" s="1">
        <v>0</v>
      </c>
      <c r="AET20" s="1">
        <v>0</v>
      </c>
      <c r="AEU20" s="1">
        <v>0</v>
      </c>
      <c r="AEV20" s="1">
        <v>0.02</v>
      </c>
      <c r="AEW20" s="1">
        <v>3.91</v>
      </c>
      <c r="AEX20" s="1">
        <v>6.68</v>
      </c>
      <c r="AEY20" s="1">
        <v>6.71</v>
      </c>
      <c r="AEZ20" s="1">
        <v>4.79</v>
      </c>
      <c r="AFA20" s="1">
        <v>0.01</v>
      </c>
      <c r="AFB20" s="1">
        <v>4.8</v>
      </c>
      <c r="AFC20" s="1">
        <v>227</v>
      </c>
      <c r="AFD20" s="1">
        <v>230.38</v>
      </c>
      <c r="AFE20" s="1">
        <v>0.46</v>
      </c>
      <c r="AFF20" s="1">
        <v>0.16</v>
      </c>
      <c r="AFG20" s="1">
        <v>0.11989898989898991</v>
      </c>
      <c r="AFH20" s="1">
        <v>0.15919999999999998</v>
      </c>
      <c r="AFI20" s="1">
        <v>0.38175323599898991</v>
      </c>
      <c r="AFJ20" s="1">
        <v>0.62</v>
      </c>
      <c r="AFK20" s="1">
        <v>15.909999999999998</v>
      </c>
      <c r="AFL20" s="1">
        <v>15.919999999999998</v>
      </c>
      <c r="AFM20" s="1">
        <v>9.9999999999997868E-3</v>
      </c>
      <c r="AFO20" s="1">
        <v>15.909999999999998</v>
      </c>
      <c r="AFP20" s="1">
        <v>0</v>
      </c>
      <c r="AFQ20" s="1">
        <v>15.91</v>
      </c>
      <c r="AFX20" s="1">
        <v>16.61</v>
      </c>
    </row>
    <row r="21" spans="1:856" s="1" customFormat="1" ht="63.75" customHeight="1">
      <c r="A21" s="88">
        <v>13</v>
      </c>
      <c r="B21" s="20"/>
      <c r="C21" s="89" t="s">
        <v>477</v>
      </c>
      <c r="D21" s="20"/>
      <c r="E21" s="20" t="s">
        <v>437</v>
      </c>
      <c r="F21" s="20" t="s">
        <v>438</v>
      </c>
      <c r="G21" s="20">
        <v>0.8</v>
      </c>
      <c r="H21" s="20">
        <v>715.8</v>
      </c>
      <c r="I21" s="20">
        <v>715.8</v>
      </c>
      <c r="J21" s="20">
        <f t="shared" si="0"/>
        <v>572.64</v>
      </c>
      <c r="K21" s="20">
        <v>16</v>
      </c>
      <c r="L21" s="20"/>
      <c r="M21" s="20"/>
      <c r="N21" s="20"/>
      <c r="O21" s="90">
        <f t="shared" si="1"/>
        <v>0</v>
      </c>
      <c r="P21" s="20"/>
      <c r="Q21" s="20"/>
      <c r="R21" s="90">
        <f t="shared" si="2"/>
        <v>0</v>
      </c>
      <c r="S21" s="110">
        <v>59.7</v>
      </c>
      <c r="T21" s="20">
        <v>2.6</v>
      </c>
      <c r="U21" s="20">
        <v>3.13</v>
      </c>
      <c r="V21" s="91">
        <f t="shared" si="3"/>
        <v>485.84</v>
      </c>
      <c r="W21" s="20">
        <v>2.1000000000000001E-2</v>
      </c>
      <c r="X21" s="20">
        <f t="shared" si="4"/>
        <v>33.42</v>
      </c>
      <c r="Y21" s="91">
        <f t="shared" si="5"/>
        <v>41.9</v>
      </c>
      <c r="Z21" s="20"/>
      <c r="AA21" s="20"/>
      <c r="AB21" s="20"/>
      <c r="AC21" s="91">
        <f t="shared" si="6"/>
        <v>527.74</v>
      </c>
      <c r="AD21" s="90">
        <f t="shared" si="7"/>
        <v>0.74</v>
      </c>
      <c r="AE21" s="92">
        <f t="shared" si="8"/>
        <v>6332.88</v>
      </c>
      <c r="AF21" s="20">
        <v>31</v>
      </c>
      <c r="AG21" s="20">
        <v>30</v>
      </c>
      <c r="AH21" s="20">
        <v>30</v>
      </c>
      <c r="AI21" s="20">
        <v>28</v>
      </c>
      <c r="AJ21" s="20">
        <v>1.6</v>
      </c>
      <c r="AK21" s="90">
        <f t="shared" si="9"/>
        <v>4</v>
      </c>
      <c r="AL21" s="90">
        <v>391.01</v>
      </c>
      <c r="AM21" s="90">
        <f t="shared" si="10"/>
        <v>1564.04</v>
      </c>
      <c r="AN21" s="20">
        <v>30</v>
      </c>
      <c r="AO21" s="20">
        <v>30</v>
      </c>
      <c r="AP21" s="20">
        <v>31</v>
      </c>
      <c r="AQ21" s="20">
        <v>30</v>
      </c>
      <c r="AR21" s="20">
        <v>30</v>
      </c>
      <c r="AS21" s="20">
        <v>30</v>
      </c>
      <c r="AT21" s="20">
        <f t="shared" si="11"/>
        <v>1</v>
      </c>
      <c r="AU21" s="20">
        <v>1.6</v>
      </c>
      <c r="AV21" s="90">
        <f t="shared" si="12"/>
        <v>4.13</v>
      </c>
      <c r="AW21" s="90">
        <f>ROUND((187.84*6+189.92*6)/12,2)</f>
        <v>188.88</v>
      </c>
      <c r="AX21" s="90">
        <v>755.52</v>
      </c>
      <c r="AY21" s="90">
        <f t="shared" si="14"/>
        <v>1.06</v>
      </c>
      <c r="AZ21" s="90">
        <f t="shared" si="15"/>
        <v>1616.17</v>
      </c>
      <c r="BA21" s="90">
        <f t="shared" si="16"/>
        <v>-860.65000000000009</v>
      </c>
      <c r="BB21" s="90">
        <v>755.52</v>
      </c>
      <c r="BC21" s="90">
        <v>1.06</v>
      </c>
      <c r="BD21" s="92">
        <f t="shared" si="17"/>
        <v>9066.24</v>
      </c>
      <c r="BE21" s="90"/>
      <c r="BF21" s="90">
        <f t="shared" si="18"/>
        <v>0</v>
      </c>
      <c r="BG21" s="90">
        <v>391.01</v>
      </c>
      <c r="BH21" s="90">
        <f t="shared" si="19"/>
        <v>1614.87</v>
      </c>
      <c r="BI21" s="90">
        <f t="shared" si="20"/>
        <v>2.2599999999999998</v>
      </c>
      <c r="BJ21" s="90">
        <f t="shared" si="21"/>
        <v>213.20754716981131</v>
      </c>
      <c r="BK21" s="90">
        <f t="shared" si="22"/>
        <v>1614.87</v>
      </c>
      <c r="BL21" s="90">
        <f t="shared" si="23"/>
        <v>2.2599999999999998</v>
      </c>
      <c r="BM21" s="90"/>
      <c r="BN21" s="90">
        <f t="shared" si="24"/>
        <v>0</v>
      </c>
      <c r="BO21" s="90">
        <f t="shared" si="25"/>
        <v>1614.87</v>
      </c>
      <c r="BP21" s="90">
        <f t="shared" si="26"/>
        <v>2.2560352053646269</v>
      </c>
      <c r="BQ21" s="90"/>
      <c r="BR21" s="90">
        <f t="shared" si="27"/>
        <v>0</v>
      </c>
      <c r="BS21" s="90">
        <f t="shared" si="28"/>
        <v>1614.87</v>
      </c>
      <c r="BT21" s="90">
        <f t="shared" si="29"/>
        <v>2.2560352053646269</v>
      </c>
      <c r="BU21" s="90"/>
      <c r="BV21" s="93">
        <v>1.4356370000000001</v>
      </c>
      <c r="BW21" s="90">
        <f t="shared" si="30"/>
        <v>1027.6289646</v>
      </c>
      <c r="BX21" s="90">
        <f t="shared" si="31"/>
        <v>1089.2867024760001</v>
      </c>
      <c r="BY21" s="90"/>
      <c r="BZ21" s="90"/>
      <c r="CA21" s="90">
        <v>0.2651</v>
      </c>
      <c r="CB21" s="90">
        <f t="shared" si="518"/>
        <v>189.75857999999999</v>
      </c>
      <c r="CC21" s="90">
        <v>0.71072749999999996</v>
      </c>
      <c r="CD21" s="90">
        <f t="shared" si="33"/>
        <v>134.86664116694999</v>
      </c>
      <c r="CE21" s="90">
        <f t="shared" si="34"/>
        <v>203.93205688713206</v>
      </c>
      <c r="CF21" s="90">
        <v>199.08665172768937</v>
      </c>
      <c r="CG21" s="90">
        <v>199.08665172768937</v>
      </c>
      <c r="CH21" s="90">
        <f t="shared" si="35"/>
        <v>208.64</v>
      </c>
      <c r="CI21" s="90">
        <f>CH21/($SP21-$HL21)*($SX21-$HN21)</f>
        <v>218.96938664471656</v>
      </c>
      <c r="CJ21" s="90">
        <f t="shared" si="36"/>
        <v>220.12</v>
      </c>
      <c r="CK21" s="90">
        <f t="shared" si="37"/>
        <v>232.79814631134892</v>
      </c>
      <c r="CL21" s="90">
        <f t="shared" si="38"/>
        <v>232.79814631134892</v>
      </c>
      <c r="CM21" s="94">
        <v>0.14899999999999999</v>
      </c>
      <c r="CN21" s="90">
        <f t="shared" si="39"/>
        <v>153.11671572539998</v>
      </c>
      <c r="CO21" s="90">
        <f t="shared" si="40"/>
        <v>162.30371866892401</v>
      </c>
      <c r="CP21" s="90"/>
      <c r="CQ21" s="90">
        <v>3.9539251999999997E-2</v>
      </c>
      <c r="CR21" s="90">
        <f t="shared" si="519"/>
        <v>28.302196581599997</v>
      </c>
      <c r="CS21" s="90">
        <v>0.71072749999999996</v>
      </c>
      <c r="CT21" s="90">
        <f t="shared" si="42"/>
        <v>20.115149420949109</v>
      </c>
      <c r="CU21" s="90">
        <f t="shared" si="43"/>
        <v>30.416148578418142</v>
      </c>
      <c r="CV21" s="90">
        <v>61.518416921934374</v>
      </c>
      <c r="CW21" s="90">
        <f t="shared" si="44"/>
        <v>64.47</v>
      </c>
      <c r="CX21" s="90">
        <f>CW21/($SP21-$HL21)*($SX21-$HN21)</f>
        <v>67.66179235518058</v>
      </c>
      <c r="CY21" s="90">
        <f t="shared" si="45"/>
        <v>68.02</v>
      </c>
      <c r="CZ21" s="90">
        <f t="shared" si="46"/>
        <v>71.93489499948555</v>
      </c>
      <c r="DA21" s="90">
        <f t="shared" si="47"/>
        <v>71.93489499948555</v>
      </c>
      <c r="DB21" s="93">
        <v>1.4169099999999999</v>
      </c>
      <c r="DC21" s="90">
        <f t="shared" si="48"/>
        <v>1014.2241779999998</v>
      </c>
      <c r="DD21" s="90">
        <f t="shared" si="49"/>
        <v>1075.0776286799999</v>
      </c>
      <c r="DE21" s="90"/>
      <c r="DF21" s="90"/>
      <c r="DG21" s="90">
        <v>0.16261500000000001</v>
      </c>
      <c r="DH21" s="90">
        <f t="shared" si="520"/>
        <v>116.399817</v>
      </c>
      <c r="DI21" s="90">
        <v>0.71072749999999996</v>
      </c>
      <c r="DJ21" s="90">
        <f t="shared" si="51"/>
        <v>82.728550936867492</v>
      </c>
      <c r="DK21" s="90">
        <f t="shared" si="52"/>
        <v>125.09396993851747</v>
      </c>
      <c r="DL21" s="90">
        <v>98.960728913404935</v>
      </c>
      <c r="DM21" s="90">
        <f t="shared" si="53"/>
        <v>103.71</v>
      </c>
      <c r="DN21" s="90">
        <f>DM21/($SP21-$HL21)*($SX21-$HN21)</f>
        <v>108.8444933326474</v>
      </c>
      <c r="DO21" s="90">
        <f t="shared" si="54"/>
        <v>109.41</v>
      </c>
      <c r="DP21" s="90">
        <f t="shared" si="55"/>
        <v>115.71844207222965</v>
      </c>
      <c r="DQ21" s="90">
        <f t="shared" si="56"/>
        <v>115.71844207222965</v>
      </c>
      <c r="DR21" s="93">
        <v>5.6880149999999997E-2</v>
      </c>
      <c r="DS21" s="90">
        <f t="shared" si="57"/>
        <v>40.714811369999993</v>
      </c>
      <c r="DT21" s="90">
        <f t="shared" si="58"/>
        <v>43.157700052199992</v>
      </c>
      <c r="DU21" s="90"/>
      <c r="DV21" s="90">
        <v>6.1506E-3</v>
      </c>
      <c r="DW21" s="90">
        <f t="shared" si="521"/>
        <v>4.4025994800000001</v>
      </c>
      <c r="DX21" s="90">
        <v>0.71072749999999996</v>
      </c>
      <c r="DY21" s="90">
        <f t="shared" si="60"/>
        <v>3.1290485219216997</v>
      </c>
      <c r="DZ21" s="90">
        <f t="shared" si="61"/>
        <v>4.7314391138815335</v>
      </c>
      <c r="EA21" s="90">
        <f t="shared" si="62"/>
        <v>4.96</v>
      </c>
      <c r="EB21" s="90">
        <f>EA21/($SP21-$HL21)*($SX21-$HN21)</f>
        <v>5.2055605720753171</v>
      </c>
      <c r="EC21" s="90">
        <f t="shared" si="63"/>
        <v>5.23</v>
      </c>
      <c r="ED21" s="90">
        <f t="shared" si="64"/>
        <v>5.5343117604691843</v>
      </c>
      <c r="EE21" s="90">
        <f t="shared" si="65"/>
        <v>5.5343117604691843</v>
      </c>
      <c r="EF21" s="94">
        <v>0.85293354333000004</v>
      </c>
      <c r="EG21" s="90">
        <f t="shared" si="66"/>
        <v>488.42386425249123</v>
      </c>
      <c r="EH21" s="90">
        <f t="shared" si="67"/>
        <v>517.72929610764072</v>
      </c>
      <c r="EI21" s="90"/>
      <c r="EJ21" s="90">
        <v>0.58975</v>
      </c>
      <c r="EK21" s="90">
        <f t="shared" si="68"/>
        <v>337.71443999999997</v>
      </c>
      <c r="EL21" s="90">
        <v>0.71072749999999996</v>
      </c>
      <c r="EM21" s="90">
        <f t="shared" si="69"/>
        <v>240.02293965509998</v>
      </c>
      <c r="EN21" s="90">
        <f t="shared" si="70"/>
        <v>362.93905861693293</v>
      </c>
      <c r="EO21" s="90">
        <v>353.95433823392159</v>
      </c>
      <c r="EP21" s="90">
        <f t="shared" si="71"/>
        <v>370.94</v>
      </c>
      <c r="EQ21" s="90">
        <f>EP21/($SP21-$HL21)*($SX21-$HN21)</f>
        <v>389.30456423500368</v>
      </c>
      <c r="ER21" s="90">
        <f t="shared" si="72"/>
        <v>391.34</v>
      </c>
      <c r="ES21" s="90">
        <f t="shared" si="73"/>
        <v>413.89064605412079</v>
      </c>
      <c r="ET21" s="90">
        <f t="shared" si="74"/>
        <v>413.89064605412079</v>
      </c>
      <c r="EU21" s="94">
        <v>0.14899999999999999</v>
      </c>
      <c r="EV21" s="90">
        <f t="shared" si="75"/>
        <v>72.775155773621194</v>
      </c>
      <c r="EW21" s="90">
        <f t="shared" si="76"/>
        <v>77.141665120038468</v>
      </c>
      <c r="EX21" s="90"/>
      <c r="EY21" s="90">
        <v>8.7870000000000004E-2</v>
      </c>
      <c r="EZ21" s="90">
        <f t="shared" si="77"/>
        <v>50.317876800000001</v>
      </c>
      <c r="FA21" s="90">
        <v>0.71072749999999996</v>
      </c>
      <c r="FB21" s="90">
        <f t="shared" si="78"/>
        <v>35.762298783371996</v>
      </c>
      <c r="FC21" s="90">
        <f t="shared" si="79"/>
        <v>54.076227351708177</v>
      </c>
      <c r="FD21" s="90">
        <v>109.4484319694195</v>
      </c>
      <c r="FE21" s="90">
        <f t="shared" si="80"/>
        <v>114.7</v>
      </c>
      <c r="FF21" s="90">
        <f>FE21/($SP21-$HL21)*($SX21-$HN21)</f>
        <v>120.37858822924171</v>
      </c>
      <c r="FG21" s="90">
        <f t="shared" si="81"/>
        <v>121.01</v>
      </c>
      <c r="FH21" s="90">
        <f t="shared" si="82"/>
        <v>127.98095946084989</v>
      </c>
      <c r="FI21" s="90">
        <f t="shared" si="83"/>
        <v>127.98095946084989</v>
      </c>
      <c r="FJ21" s="93">
        <v>0.49981642240000002</v>
      </c>
      <c r="FK21" s="90">
        <f t="shared" si="84"/>
        <v>286.21487612313598</v>
      </c>
      <c r="FL21" s="90">
        <f t="shared" si="85"/>
        <v>303.38776869052413</v>
      </c>
      <c r="FM21" s="90"/>
      <c r="FN21" s="90">
        <v>0.35812500000000003</v>
      </c>
      <c r="FO21" s="90">
        <f t="shared" si="86"/>
        <v>205.07670000000002</v>
      </c>
      <c r="FP21" s="90">
        <v>0.71072749999999996</v>
      </c>
      <c r="FQ21" s="90">
        <f t="shared" si="87"/>
        <v>145.75365029925001</v>
      </c>
      <c r="FR21" s="90">
        <f t="shared" si="88"/>
        <v>220.39432024957884</v>
      </c>
      <c r="FS21" s="90">
        <v>173.73792712304328</v>
      </c>
      <c r="FT21" s="90">
        <f t="shared" si="89"/>
        <v>182.08</v>
      </c>
      <c r="FU21" s="90">
        <v>173.88321385591814</v>
      </c>
      <c r="FV21" s="90">
        <f t="shared" si="90"/>
        <v>182.23</v>
      </c>
      <c r="FW21" s="90">
        <f>FV21/($SP21-$HL21)*($SX21-$HN21)</f>
        <v>191.2518756147752</v>
      </c>
      <c r="FX21" s="90">
        <f t="shared" si="91"/>
        <v>192.25</v>
      </c>
      <c r="FY21" s="90">
        <f t="shared" si="92"/>
        <v>203.33016776417327</v>
      </c>
      <c r="FZ21" s="90">
        <f t="shared" si="93"/>
        <v>203.33016776417327</v>
      </c>
      <c r="GA21" s="94">
        <v>1.352261642E-2</v>
      </c>
      <c r="GB21" s="90">
        <f t="shared" si="94"/>
        <v>7.7435910667487997</v>
      </c>
      <c r="GC21" s="90">
        <f t="shared" si="95"/>
        <v>8.2082065307537277</v>
      </c>
      <c r="GD21" s="90"/>
      <c r="GE21" s="90">
        <v>1.0749999999999999E-2</v>
      </c>
      <c r="GF21" s="90">
        <f t="shared" si="96"/>
        <v>6.1558799999999998</v>
      </c>
      <c r="GG21" s="90">
        <v>0.71072749999999996</v>
      </c>
      <c r="GH21" s="90">
        <f t="shared" si="97"/>
        <v>4.3751532027</v>
      </c>
      <c r="GI21" s="90">
        <f t="shared" si="98"/>
        <v>6.6156759307028894</v>
      </c>
      <c r="GJ21" s="90">
        <f t="shared" si="99"/>
        <v>6.93</v>
      </c>
      <c r="GK21" s="90">
        <f>GJ21/($SP21-$HL21)*($SX21-$HN21)</f>
        <v>7.273091686387489</v>
      </c>
      <c r="GL21" s="90">
        <f t="shared" si="100"/>
        <v>7.31</v>
      </c>
      <c r="GM21" s="90">
        <f t="shared" si="101"/>
        <v>7.7324154233974687</v>
      </c>
      <c r="GN21" s="90">
        <f t="shared" si="102"/>
        <v>7.7324154233974687</v>
      </c>
      <c r="GO21" s="90">
        <v>3225.6</v>
      </c>
      <c r="GP21" s="90">
        <f t="shared" si="103"/>
        <v>268.8</v>
      </c>
      <c r="GQ21" s="90">
        <f>2116.8+138.6</f>
        <v>2255.4</v>
      </c>
      <c r="GR21" s="90">
        <f t="shared" si="104"/>
        <v>187.95000000000002</v>
      </c>
      <c r="GS21" s="90">
        <f t="shared" si="105"/>
        <v>456.75</v>
      </c>
      <c r="GT21" s="90">
        <f t="shared" si="106"/>
        <v>0.64</v>
      </c>
      <c r="GU21" s="90">
        <v>3070.4</v>
      </c>
      <c r="GV21" s="90">
        <f>1672+110.2</f>
        <v>1782.2</v>
      </c>
      <c r="GW21" s="90">
        <f t="shared" si="107"/>
        <v>404.38333333333338</v>
      </c>
      <c r="GX21" s="90">
        <f t="shared" si="108"/>
        <v>0.56000000000000005</v>
      </c>
      <c r="GY21" s="90">
        <v>5487.2</v>
      </c>
      <c r="GZ21" s="90">
        <f>1778.4+117.8</f>
        <v>1896.2</v>
      </c>
      <c r="HA21" s="90">
        <f t="shared" si="109"/>
        <v>615.2833333333333</v>
      </c>
      <c r="HB21" s="90">
        <f t="shared" si="110"/>
        <v>0.86</v>
      </c>
      <c r="HC21" s="90">
        <v>5487.2</v>
      </c>
      <c r="HD21" s="90">
        <f>1778.4+117.8</f>
        <v>1896.2</v>
      </c>
      <c r="HE21" s="90">
        <f t="shared" si="111"/>
        <v>615.2833333333333</v>
      </c>
      <c r="HF21" s="90">
        <f t="shared" si="112"/>
        <v>0.86</v>
      </c>
      <c r="HG21" s="90"/>
      <c r="HH21" s="90"/>
      <c r="HI21" s="90">
        <v>0.96</v>
      </c>
      <c r="HJ21" s="90">
        <f t="shared" si="113"/>
        <v>687.16799999999989</v>
      </c>
      <c r="HK21" s="90">
        <f t="shared" si="114"/>
        <v>1.0060771165129925</v>
      </c>
      <c r="HL21" s="90">
        <f t="shared" si="115"/>
        <v>720.15</v>
      </c>
      <c r="HM21" s="90">
        <v>1.07</v>
      </c>
      <c r="HN21" s="90">
        <f t="shared" si="116"/>
        <v>765.90599999999995</v>
      </c>
      <c r="HO21" s="90">
        <v>1.1499999999999999</v>
      </c>
      <c r="HP21" s="90">
        <f t="shared" si="117"/>
        <v>823.17</v>
      </c>
      <c r="HQ21" s="90">
        <v>1.1499999999999999</v>
      </c>
      <c r="HR21" s="90">
        <f t="shared" si="118"/>
        <v>823.17</v>
      </c>
      <c r="HS21" s="90">
        <v>0.31919999999999998</v>
      </c>
      <c r="HT21" s="90">
        <f t="shared" si="119"/>
        <v>228.48335999999998</v>
      </c>
      <c r="HU21" s="90" t="e">
        <f>HT21*#REF!</f>
        <v>#REF!</v>
      </c>
      <c r="HV21" s="90">
        <v>2.83</v>
      </c>
      <c r="HW21" s="90">
        <v>3.1</v>
      </c>
      <c r="HX21" s="90">
        <f t="shared" si="120"/>
        <v>2218.98</v>
      </c>
      <c r="HY21" s="90">
        <v>1.06</v>
      </c>
      <c r="HZ21" s="90">
        <f t="shared" si="121"/>
        <v>2352.1188000000002</v>
      </c>
      <c r="IA21" s="90">
        <f t="shared" si="122"/>
        <v>3.29</v>
      </c>
      <c r="IB21" s="90">
        <f t="shared" si="123"/>
        <v>3.45</v>
      </c>
      <c r="IC21" s="90">
        <f t="shared" si="124"/>
        <v>2469.5099999999998</v>
      </c>
      <c r="ID21" s="90">
        <f t="shared" si="125"/>
        <v>3.64</v>
      </c>
      <c r="IE21" s="90">
        <f t="shared" si="126"/>
        <v>2605.5100000000002</v>
      </c>
      <c r="IF21" s="90">
        <f t="shared" si="127"/>
        <v>3.64</v>
      </c>
      <c r="IG21" s="92">
        <f t="shared" si="128"/>
        <v>31266.120000000003</v>
      </c>
      <c r="IH21" s="90">
        <v>3.91</v>
      </c>
      <c r="II21" s="90">
        <f t="shared" si="129"/>
        <v>4.1100000000000003</v>
      </c>
      <c r="IJ21" s="90">
        <f t="shared" si="130"/>
        <v>2941.94</v>
      </c>
      <c r="IK21" s="90">
        <f t="shared" si="131"/>
        <v>4.1100000000000003</v>
      </c>
      <c r="IL21" s="90">
        <f t="shared" si="132"/>
        <v>2941.94</v>
      </c>
      <c r="IM21" s="90">
        <f t="shared" si="133"/>
        <v>4.1100000000000003</v>
      </c>
      <c r="IN21" s="90">
        <f t="shared" si="134"/>
        <v>2941.94</v>
      </c>
      <c r="IO21" s="90">
        <f t="shared" si="135"/>
        <v>4.1100000000000003</v>
      </c>
      <c r="IP21" s="93">
        <v>0.37052404126999999</v>
      </c>
      <c r="IQ21" s="90">
        <f t="shared" si="136"/>
        <v>212.17688699285279</v>
      </c>
      <c r="IR21" s="90">
        <f t="shared" si="137"/>
        <v>224.90750021242397</v>
      </c>
      <c r="IS21" s="90">
        <v>108693.96</v>
      </c>
      <c r="IT21" s="90">
        <v>3053.33</v>
      </c>
      <c r="IU21" s="94"/>
      <c r="IV21" s="94"/>
      <c r="IW21" s="94">
        <v>1.6976249999999999</v>
      </c>
      <c r="IX21" s="90">
        <f t="shared" si="138"/>
        <v>972.12797999999998</v>
      </c>
      <c r="IY21" s="93">
        <v>0.56339614052999998</v>
      </c>
      <c r="IZ21" s="90">
        <f t="shared" si="139"/>
        <v>403.27895739137398</v>
      </c>
      <c r="JA21" s="90">
        <f t="shared" si="140"/>
        <v>422.64</v>
      </c>
      <c r="JB21" s="90">
        <f>JA21/($SP21-$HL21)*($SX21-$HN21)</f>
        <v>443.56413713345</v>
      </c>
      <c r="JC21" s="90">
        <f t="shared" si="141"/>
        <v>445.89</v>
      </c>
      <c r="JD21" s="90">
        <f t="shared" si="142"/>
        <v>471.576919847721</v>
      </c>
      <c r="JE21" s="90">
        <f t="shared" si="143"/>
        <v>471.576919847721</v>
      </c>
      <c r="JF21" s="93">
        <v>4.2278943710000003E-2</v>
      </c>
      <c r="JG21" s="90">
        <f t="shared" si="144"/>
        <v>24.210614326094401</v>
      </c>
      <c r="JH21" s="90">
        <f t="shared" si="145"/>
        <v>25.663251185660066</v>
      </c>
      <c r="JI21" s="20">
        <v>462.98</v>
      </c>
      <c r="JJ21" s="20"/>
      <c r="JK21" s="20">
        <v>6.0624999999999998E-2</v>
      </c>
      <c r="JL21" s="90">
        <f t="shared" si="146"/>
        <v>34.716299999999997</v>
      </c>
      <c r="JM21" s="93">
        <v>6.7347080040000007E-2</v>
      </c>
      <c r="JN21" s="90">
        <f t="shared" si="147"/>
        <v>48.207039892632004</v>
      </c>
      <c r="JO21" s="90">
        <f t="shared" si="148"/>
        <v>50.52</v>
      </c>
      <c r="JP21" s="90">
        <f>JO21/($SP21-$HL21)*($SX21-$HN21)</f>
        <v>53.021153246218766</v>
      </c>
      <c r="JQ21" s="90">
        <f t="shared" si="149"/>
        <v>53.3</v>
      </c>
      <c r="JR21" s="90">
        <f t="shared" si="150"/>
        <v>56.369643173165976</v>
      </c>
      <c r="JS21" s="90">
        <f t="shared" si="151"/>
        <v>56.369643173165976</v>
      </c>
      <c r="JT21" s="93">
        <v>7.3220517000000002E-3</v>
      </c>
      <c r="JU21" s="90">
        <f t="shared" si="152"/>
        <v>4.1928996854880003</v>
      </c>
      <c r="JV21" s="90">
        <f t="shared" si="153"/>
        <v>4.3899999999999997</v>
      </c>
      <c r="JW21" s="90">
        <f>JV21/($SP21-$HL21)*($SX21-$HN21)</f>
        <v>4.6073409095585971</v>
      </c>
      <c r="JX21" s="90">
        <f t="shared" si="154"/>
        <v>4.63</v>
      </c>
      <c r="JY21" s="90">
        <f t="shared" si="155"/>
        <v>4.898312223479782</v>
      </c>
      <c r="JZ21" s="90">
        <f t="shared" si="156"/>
        <v>4.898312223479782</v>
      </c>
      <c r="KA21" s="90">
        <v>8.3090999999999998E-3</v>
      </c>
      <c r="KB21" s="90">
        <f t="shared" si="157"/>
        <v>4.7581230239999996</v>
      </c>
      <c r="KC21" s="90" t="e">
        <f>KB21*#REF!</f>
        <v>#REF!</v>
      </c>
      <c r="KD21" s="90">
        <v>34406.519999999997</v>
      </c>
      <c r="KE21" s="90">
        <v>40292.97</v>
      </c>
      <c r="KF21" s="90"/>
      <c r="KG21" s="90">
        <f t="shared" si="522"/>
        <v>838.26286198081061</v>
      </c>
      <c r="KH21" s="90" t="e">
        <f>KG21/(BW21+#REF!)*(CB21+#REF!)</f>
        <v>#REF!</v>
      </c>
      <c r="KI21" s="90">
        <v>0.8</v>
      </c>
      <c r="KJ21" s="94"/>
      <c r="KK21" s="90">
        <f t="shared" si="159"/>
        <v>0</v>
      </c>
      <c r="KL21" s="93">
        <v>1.2690177</v>
      </c>
      <c r="KM21" s="90">
        <f t="shared" si="160"/>
        <v>908.36286966</v>
      </c>
      <c r="KN21" s="90">
        <f t="shared" si="161"/>
        <v>962.86464183960004</v>
      </c>
      <c r="KO21" s="90" t="e">
        <f>BW21+CN21+DC21+DS21+EG21+EV21+FK21+GB21+#REF!+#REF!+HJ21+HX21+IQ21+JG21+JU21+KK21+KM21</f>
        <v>#REF!</v>
      </c>
      <c r="KP21" s="90"/>
      <c r="KQ21" s="90">
        <v>0.50815001599999998</v>
      </c>
      <c r="KR21" s="90">
        <f t="shared" si="514"/>
        <v>363.73378145279997</v>
      </c>
      <c r="KS21" s="90">
        <v>0.71072749999999996</v>
      </c>
      <c r="KT21" s="90">
        <f t="shared" si="163"/>
        <v>258.51560115749487</v>
      </c>
      <c r="KU21" s="90">
        <f t="shared" si="164"/>
        <v>390.90184070203344</v>
      </c>
      <c r="KV21" s="90">
        <f t="shared" si="165"/>
        <v>409.67</v>
      </c>
      <c r="KW21" s="90">
        <f>KV21/($SP21-$HL21)*($SX21-$HN21)</f>
        <v>429.95201604074504</v>
      </c>
      <c r="KX21" s="90">
        <f t="shared" si="166"/>
        <v>432.2</v>
      </c>
      <c r="KY21" s="90">
        <f t="shared" si="167"/>
        <v>457.10514090955866</v>
      </c>
      <c r="KZ21" s="90">
        <f t="shared" si="168"/>
        <v>457.10514090955866</v>
      </c>
      <c r="LA21" s="90">
        <f t="shared" si="169"/>
        <v>2805.94</v>
      </c>
      <c r="LB21" s="90">
        <f t="shared" si="170"/>
        <v>3.92</v>
      </c>
      <c r="LC21" s="92">
        <f t="shared" si="171"/>
        <v>33671.279999999999</v>
      </c>
      <c r="LD21" s="92">
        <v>4.21</v>
      </c>
      <c r="LE21" s="92">
        <v>3013.52</v>
      </c>
      <c r="LF21" s="90">
        <f t="shared" si="172"/>
        <v>4.18</v>
      </c>
      <c r="LG21" s="90">
        <f t="shared" si="173"/>
        <v>2992.04</v>
      </c>
      <c r="LH21" s="90">
        <f t="shared" si="174"/>
        <v>3016.3854999999999</v>
      </c>
      <c r="LI21" s="90">
        <f t="shared" si="175"/>
        <v>4.21</v>
      </c>
      <c r="LJ21" s="90">
        <f t="shared" si="176"/>
        <v>2992.04</v>
      </c>
      <c r="LK21" s="90">
        <f t="shared" si="177"/>
        <v>4.18</v>
      </c>
      <c r="LL21" s="90">
        <f t="shared" si="178"/>
        <v>2992.04</v>
      </c>
      <c r="LM21" s="90">
        <f t="shared" si="179"/>
        <v>4.18</v>
      </c>
      <c r="LN21" s="95">
        <v>0.46</v>
      </c>
      <c r="LO21" s="95">
        <f t="shared" si="180"/>
        <v>329.27</v>
      </c>
      <c r="LP21" s="95"/>
      <c r="LQ21" s="95">
        <f t="shared" si="181"/>
        <v>0</v>
      </c>
      <c r="LR21" s="90"/>
      <c r="LS21" s="90"/>
      <c r="LT21" s="90">
        <f t="shared" si="182"/>
        <v>0</v>
      </c>
      <c r="LU21" s="90"/>
      <c r="LV21" s="90">
        <f t="shared" si="183"/>
        <v>0</v>
      </c>
      <c r="LW21" s="90">
        <f t="shared" si="184"/>
        <v>0</v>
      </c>
      <c r="LX21" s="90"/>
      <c r="LY21" s="90"/>
      <c r="LZ21" s="90">
        <f t="shared" si="185"/>
        <v>0</v>
      </c>
      <c r="MA21" s="90"/>
      <c r="MB21" s="90">
        <f t="shared" si="186"/>
        <v>0</v>
      </c>
      <c r="MC21" s="90">
        <f t="shared" si="187"/>
        <v>0</v>
      </c>
      <c r="MD21" s="90"/>
      <c r="ME21" s="90"/>
      <c r="MF21" s="90">
        <f t="shared" si="188"/>
        <v>0</v>
      </c>
      <c r="MG21" s="90"/>
      <c r="MH21" s="90">
        <f t="shared" si="189"/>
        <v>0</v>
      </c>
      <c r="MI21" s="90">
        <f t="shared" si="190"/>
        <v>0</v>
      </c>
      <c r="MJ21" s="90"/>
      <c r="MK21" s="90"/>
      <c r="ML21" s="90">
        <f t="shared" si="191"/>
        <v>0</v>
      </c>
      <c r="MM21" s="90"/>
      <c r="MN21" s="90">
        <f t="shared" si="192"/>
        <v>0</v>
      </c>
      <c r="MO21" s="90">
        <f t="shared" si="193"/>
        <v>0</v>
      </c>
      <c r="MP21" s="90">
        <f t="shared" si="194"/>
        <v>0</v>
      </c>
      <c r="MQ21" s="90">
        <f t="shared" si="195"/>
        <v>0</v>
      </c>
      <c r="MR21" s="90">
        <f t="shared" si="196"/>
        <v>0</v>
      </c>
      <c r="MS21" s="90">
        <f t="shared" si="197"/>
        <v>0</v>
      </c>
      <c r="MT21" s="95"/>
      <c r="MU21" s="95">
        <f t="shared" si="198"/>
        <v>0</v>
      </c>
      <c r="MV21" s="92">
        <f t="shared" si="199"/>
        <v>0</v>
      </c>
      <c r="MW21" s="95"/>
      <c r="MX21" s="95">
        <f t="shared" si="200"/>
        <v>0</v>
      </c>
      <c r="MY21" s="95"/>
      <c r="MZ21" s="95">
        <f t="shared" si="201"/>
        <v>0</v>
      </c>
      <c r="NA21" s="95"/>
      <c r="NB21" s="95">
        <f t="shared" si="202"/>
        <v>0</v>
      </c>
      <c r="NC21" s="92">
        <f t="shared" si="203"/>
        <v>0</v>
      </c>
      <c r="ND21" s="95"/>
      <c r="NE21" s="95">
        <f t="shared" si="204"/>
        <v>0</v>
      </c>
      <c r="NF21" s="95"/>
      <c r="NG21" s="95">
        <f t="shared" si="205"/>
        <v>0</v>
      </c>
      <c r="NH21" s="95"/>
      <c r="NI21" s="95"/>
      <c r="NJ21" s="95">
        <f t="shared" si="206"/>
        <v>0</v>
      </c>
      <c r="NK21" s="92">
        <f t="shared" si="207"/>
        <v>0</v>
      </c>
      <c r="NL21" s="95"/>
      <c r="NM21" s="95">
        <f t="shared" si="208"/>
        <v>0</v>
      </c>
      <c r="NN21" s="95"/>
      <c r="NO21" s="95">
        <f t="shared" si="209"/>
        <v>0</v>
      </c>
      <c r="NP21" s="95"/>
      <c r="NQ21" s="95">
        <f t="shared" si="210"/>
        <v>0</v>
      </c>
      <c r="NR21" s="92">
        <f t="shared" si="211"/>
        <v>0</v>
      </c>
      <c r="NS21" s="95"/>
      <c r="NT21" s="95">
        <f t="shared" si="212"/>
        <v>0</v>
      </c>
      <c r="NU21" s="95"/>
      <c r="NV21" s="95">
        <f t="shared" si="213"/>
        <v>0</v>
      </c>
      <c r="NW21" s="95"/>
      <c r="NX21" s="95">
        <f t="shared" si="214"/>
        <v>0</v>
      </c>
      <c r="NY21" s="92">
        <f t="shared" si="215"/>
        <v>0</v>
      </c>
      <c r="NZ21" s="95"/>
      <c r="OA21" s="95">
        <f t="shared" si="216"/>
        <v>0</v>
      </c>
      <c r="OB21" s="95"/>
      <c r="OC21" s="95">
        <f t="shared" si="217"/>
        <v>0</v>
      </c>
      <c r="OD21" s="90">
        <v>4781.54</v>
      </c>
      <c r="OE21" s="90">
        <f t="shared" si="218"/>
        <v>6.68</v>
      </c>
      <c r="OF21" s="92">
        <f t="shared" si="219"/>
        <v>57378.479999999996</v>
      </c>
      <c r="OG21" s="96">
        <v>755.52</v>
      </c>
      <c r="OH21" s="96">
        <v>1.06</v>
      </c>
      <c r="OI21" s="90">
        <v>5547.45</v>
      </c>
      <c r="OJ21" s="90">
        <f t="shared" si="220"/>
        <v>7.75</v>
      </c>
      <c r="OK21" s="90">
        <f t="shared" si="221"/>
        <v>5537.0599999999995</v>
      </c>
      <c r="OL21" s="90">
        <f t="shared" si="222"/>
        <v>7.74</v>
      </c>
      <c r="OM21" s="90">
        <f t="shared" si="223"/>
        <v>9.9999999999997868E-3</v>
      </c>
      <c r="ON21" s="90">
        <v>4788.7</v>
      </c>
      <c r="OO21" s="90">
        <f t="shared" si="224"/>
        <v>6.69</v>
      </c>
      <c r="OP21" s="90">
        <v>4791.93</v>
      </c>
      <c r="OQ21" s="90">
        <v>6.69</v>
      </c>
      <c r="OR21" s="90">
        <f t="shared" si="225"/>
        <v>0</v>
      </c>
      <c r="OS21" s="90">
        <f t="shared" si="226"/>
        <v>6.6899999999999995</v>
      </c>
      <c r="OT21" s="90">
        <v>4788.7</v>
      </c>
      <c r="OU21" s="90">
        <f t="shared" si="227"/>
        <v>6.69</v>
      </c>
      <c r="OV21" s="97">
        <v>4072.9</v>
      </c>
      <c r="OW21" s="90">
        <f t="shared" si="228"/>
        <v>4072.9</v>
      </c>
      <c r="OX21" s="90">
        <f t="shared" si="229"/>
        <v>5.69</v>
      </c>
      <c r="OY21" s="90">
        <f>OU21-1</f>
        <v>5.69</v>
      </c>
      <c r="OZ21" s="90"/>
      <c r="PA21" s="90"/>
      <c r="PB21" s="95">
        <f t="shared" si="230"/>
        <v>0</v>
      </c>
      <c r="PC21" s="92">
        <f t="shared" si="231"/>
        <v>0</v>
      </c>
      <c r="PD21" s="90"/>
      <c r="PE21" s="95">
        <f t="shared" si="232"/>
        <v>0</v>
      </c>
      <c r="PF21" s="90">
        <f t="shared" si="233"/>
        <v>11405.26</v>
      </c>
      <c r="PG21" s="90">
        <f t="shared" si="234"/>
        <v>15.93</v>
      </c>
      <c r="PH21" s="90">
        <f t="shared" si="235"/>
        <v>12566.303333333333</v>
      </c>
      <c r="PI21" s="90">
        <f t="shared" si="236"/>
        <v>17.559999999999999</v>
      </c>
      <c r="PJ21" s="90">
        <f t="shared" si="237"/>
        <v>12566.303333333333</v>
      </c>
      <c r="PK21" s="90">
        <f t="shared" si="238"/>
        <v>17.559999999999999</v>
      </c>
      <c r="PL21" s="90"/>
      <c r="PM21" s="90">
        <f t="shared" si="239"/>
        <v>342.16</v>
      </c>
      <c r="PN21" s="90">
        <f t="shared" si="240"/>
        <v>0.48</v>
      </c>
      <c r="PO21" s="92">
        <f t="shared" si="241"/>
        <v>4105.92</v>
      </c>
      <c r="PP21" s="90">
        <f t="shared" si="242"/>
        <v>376.99</v>
      </c>
      <c r="PQ21" s="90">
        <f t="shared" si="243"/>
        <v>0.53</v>
      </c>
      <c r="PR21" s="90">
        <f t="shared" si="244"/>
        <v>376.99</v>
      </c>
      <c r="PS21" s="90">
        <f t="shared" si="245"/>
        <v>0.53</v>
      </c>
      <c r="PT21" s="90">
        <f t="shared" si="246"/>
        <v>11747.42</v>
      </c>
      <c r="PU21" s="90">
        <f t="shared" si="247"/>
        <v>16.41</v>
      </c>
      <c r="PV21" s="90">
        <f t="shared" si="248"/>
        <v>12943.293333333333</v>
      </c>
      <c r="PW21" s="90">
        <f t="shared" si="249"/>
        <v>18.079999999999998</v>
      </c>
      <c r="PX21" s="90">
        <f t="shared" si="250"/>
        <v>12943.293333333333</v>
      </c>
      <c r="PY21" s="90">
        <f t="shared" si="251"/>
        <v>18.079999999999998</v>
      </c>
      <c r="PZ21" s="90">
        <f t="shared" si="252"/>
        <v>118.66</v>
      </c>
      <c r="QA21" s="90">
        <f t="shared" si="253"/>
        <v>0.17</v>
      </c>
      <c r="QB21" s="92">
        <f t="shared" si="254"/>
        <v>1423.92</v>
      </c>
      <c r="QC21" s="90">
        <f t="shared" si="255"/>
        <v>130.74</v>
      </c>
      <c r="QD21" s="90">
        <f t="shared" si="256"/>
        <v>0.18</v>
      </c>
      <c r="QE21" s="90">
        <f t="shared" si="257"/>
        <v>130.74</v>
      </c>
      <c r="QF21" s="90">
        <f t="shared" si="258"/>
        <v>0.18</v>
      </c>
      <c r="QG21" s="90">
        <f t="shared" si="259"/>
        <v>11866.08</v>
      </c>
      <c r="QH21" s="90">
        <f t="shared" si="260"/>
        <v>16.579999999999998</v>
      </c>
      <c r="QI21" s="92">
        <f t="shared" si="261"/>
        <v>142392.95999999999</v>
      </c>
      <c r="QJ21" s="90">
        <f t="shared" si="262"/>
        <v>446.53201604074502</v>
      </c>
      <c r="QK21" s="98">
        <f t="shared" si="263"/>
        <v>0.21869999999999998</v>
      </c>
      <c r="QL21" s="90">
        <f t="shared" si="264"/>
        <v>156.54545999999996</v>
      </c>
      <c r="QM21" s="90">
        <f t="shared" si="265"/>
        <v>0.26669999999999999</v>
      </c>
      <c r="QN21" s="90">
        <f t="shared" si="266"/>
        <v>190.90385999999998</v>
      </c>
      <c r="QO21" s="90">
        <v>0.21869999999999998</v>
      </c>
      <c r="QP21" s="90">
        <v>0.26669999999999999</v>
      </c>
      <c r="QQ21" s="97">
        <f t="shared" si="267"/>
        <v>347.44931999999994</v>
      </c>
      <c r="QR21" s="97">
        <v>347.44931999999994</v>
      </c>
      <c r="QS21" s="97">
        <f t="shared" si="268"/>
        <v>0</v>
      </c>
      <c r="QT21" s="90"/>
      <c r="QU21" s="90">
        <f t="shared" si="269"/>
        <v>0.26669999999999999</v>
      </c>
      <c r="QV21" s="90">
        <f t="shared" si="270"/>
        <v>190.90385999999998</v>
      </c>
      <c r="QW21" s="90">
        <f t="shared" si="271"/>
        <v>347.44931999999994</v>
      </c>
      <c r="QX21" s="90">
        <f t="shared" si="272"/>
        <v>0.48539999999999994</v>
      </c>
      <c r="QY21" s="90"/>
      <c r="QZ21" s="90"/>
      <c r="RA21" s="90"/>
      <c r="RB21" s="90">
        <v>2663.95</v>
      </c>
      <c r="RC21" s="97">
        <f t="shared" si="273"/>
        <v>11866.08</v>
      </c>
      <c r="RD21" s="97">
        <f t="shared" si="274"/>
        <v>16.579999999999998</v>
      </c>
      <c r="RE21" s="90">
        <f t="shared" si="275"/>
        <v>13074.033333333333</v>
      </c>
      <c r="RF21" s="90">
        <f t="shared" si="276"/>
        <v>18.260000000000002</v>
      </c>
      <c r="RG21" s="90">
        <f t="shared" si="277"/>
        <v>110.06630500301387</v>
      </c>
      <c r="RH21" s="90">
        <f t="shared" si="278"/>
        <v>13074.033333333333</v>
      </c>
      <c r="RI21" s="90">
        <f t="shared" si="279"/>
        <v>18.260000000000002</v>
      </c>
      <c r="RJ21" s="90">
        <v>18</v>
      </c>
      <c r="RK21" s="90">
        <v>0</v>
      </c>
      <c r="RL21" s="90">
        <f t="shared" si="280"/>
        <v>0.26000000000000156</v>
      </c>
      <c r="RM21" s="90">
        <f t="shared" si="281"/>
        <v>106.09756097560977</v>
      </c>
      <c r="RN21" s="90">
        <f t="shared" si="282"/>
        <v>6882.66</v>
      </c>
      <c r="RO21" s="90"/>
      <c r="RP21" s="90"/>
      <c r="RQ21" s="99">
        <v>666</v>
      </c>
      <c r="RR21" s="90">
        <f t="shared" si="283"/>
        <v>7084.54</v>
      </c>
      <c r="RS21" s="90">
        <f t="shared" si="284"/>
        <v>9.8973735680357642</v>
      </c>
      <c r="RT21" s="90">
        <f>11.28+3.3+12.09</f>
        <v>26.669999999999998</v>
      </c>
      <c r="RU21" s="90">
        <f t="shared" si="285"/>
        <v>19090.385999999999</v>
      </c>
      <c r="RV21" s="90">
        <f t="shared" si="286"/>
        <v>0.62382231914046526</v>
      </c>
      <c r="RW21" s="90">
        <v>10.43</v>
      </c>
      <c r="RX21" s="90">
        <f t="shared" si="287"/>
        <v>10.951499999999999</v>
      </c>
      <c r="RY21" s="90">
        <f t="shared" si="288"/>
        <v>7839.0836999999992</v>
      </c>
      <c r="RZ21" s="90">
        <f t="shared" si="289"/>
        <v>2068.1159301140992</v>
      </c>
      <c r="SA21" s="90">
        <f t="shared" si="290"/>
        <v>925.26903314460537</v>
      </c>
      <c r="SB21" s="90">
        <f t="shared" si="291"/>
        <v>1399.1007373689058</v>
      </c>
      <c r="SC21" s="90">
        <f t="shared" si="292"/>
        <v>2541.9476343383999</v>
      </c>
      <c r="SD21" s="90">
        <f t="shared" si="293"/>
        <v>2541.9476343383999</v>
      </c>
      <c r="SE21" s="90">
        <f t="shared" si="294"/>
        <v>2580.2325044438016</v>
      </c>
      <c r="SF21" s="90">
        <f t="shared" si="295"/>
        <v>2541.802347605525</v>
      </c>
      <c r="SG21" s="90">
        <f t="shared" si="296"/>
        <v>0.14528673287486527</v>
      </c>
      <c r="SH21" s="90">
        <f t="shared" si="297"/>
        <v>2541.9476343383999</v>
      </c>
      <c r="SI21" s="90">
        <f t="shared" si="298"/>
        <v>3.5511981480000001</v>
      </c>
      <c r="SJ21" s="90">
        <f t="shared" si="299"/>
        <v>3.5509951768727652</v>
      </c>
      <c r="SK21" s="90"/>
      <c r="SL21" s="90"/>
      <c r="SM21" s="90"/>
      <c r="SN21" s="90">
        <f t="shared" si="300"/>
        <v>2721.41</v>
      </c>
      <c r="SO21" s="90" t="e">
        <f>RU21-#REF!-#REF!-HZ21-LT21-LZ21-MF21-ML21-QL21-QN21-SD21</f>
        <v>#REF!</v>
      </c>
      <c r="SP21" s="90">
        <f t="shared" si="301"/>
        <v>2663.95</v>
      </c>
      <c r="SQ21" s="90">
        <f t="shared" si="302"/>
        <v>2805.94</v>
      </c>
      <c r="SR21" s="90">
        <f t="shared" si="303"/>
        <v>3.7216401229393683</v>
      </c>
      <c r="SS21" s="90">
        <f t="shared" si="304"/>
        <v>3.9200055881531157</v>
      </c>
      <c r="ST21" s="90">
        <f t="shared" si="305"/>
        <v>2816.616</v>
      </c>
      <c r="SU21" s="90">
        <v>3.7216401229393683</v>
      </c>
      <c r="SV21" s="90">
        <f t="shared" si="306"/>
        <v>3.93</v>
      </c>
      <c r="SW21" s="90">
        <v>3.92</v>
      </c>
      <c r="SX21" s="90">
        <f t="shared" si="307"/>
        <v>2805.94</v>
      </c>
      <c r="SY21" s="90">
        <v>3.7216401229393683</v>
      </c>
      <c r="SZ21" s="90">
        <f t="shared" si="308"/>
        <v>2663.95</v>
      </c>
      <c r="TA21" s="90">
        <f t="shared" si="309"/>
        <v>0</v>
      </c>
      <c r="TB21" s="90">
        <v>0</v>
      </c>
      <c r="TC21" s="90">
        <f t="shared" si="310"/>
        <v>12666.006679999999</v>
      </c>
      <c r="TD21" s="90" t="e">
        <f>#REF!+#REF!</f>
        <v>#REF!</v>
      </c>
      <c r="TE21" s="90" t="e">
        <f t="shared" si="311"/>
        <v>#REF!</v>
      </c>
      <c r="TF21" s="90">
        <v>12638.236679999998</v>
      </c>
      <c r="TG21" s="90">
        <f t="shared" si="312"/>
        <v>66.347567199531738</v>
      </c>
      <c r="TH21" s="95"/>
      <c r="TI21" s="95"/>
      <c r="TJ21" s="95"/>
      <c r="TK21" s="95"/>
      <c r="TL21" s="95"/>
      <c r="TM21" s="95">
        <f t="shared" si="313"/>
        <v>0</v>
      </c>
      <c r="TN21" s="95">
        <f t="shared" si="314"/>
        <v>19090.385999999999</v>
      </c>
      <c r="TO21" s="95">
        <f t="shared" si="315"/>
        <v>66.347567199531738</v>
      </c>
      <c r="TP21" s="95"/>
      <c r="TQ21" s="95">
        <f t="shared" si="316"/>
        <v>26.669999999999998</v>
      </c>
      <c r="TR21" s="95"/>
      <c r="TS21" s="95"/>
      <c r="TT21" s="95"/>
      <c r="TU21" s="95"/>
      <c r="TV21" s="95"/>
      <c r="TW21" s="95"/>
      <c r="TX21" s="95"/>
      <c r="TY21" s="95"/>
      <c r="TZ21" s="95">
        <f t="shared" si="317"/>
        <v>1.8200224971878514</v>
      </c>
      <c r="UA21" s="95">
        <f t="shared" si="318"/>
        <v>1.1734800000000001</v>
      </c>
      <c r="UB21" s="90">
        <v>0</v>
      </c>
      <c r="UC21" s="90">
        <f t="shared" si="319"/>
        <v>0</v>
      </c>
      <c r="UD21" s="90">
        <f t="shared" si="320"/>
        <v>0</v>
      </c>
      <c r="UE21" s="90">
        <f t="shared" si="321"/>
        <v>0</v>
      </c>
      <c r="UF21" s="90">
        <f t="shared" si="322"/>
        <v>19090.385999999999</v>
      </c>
      <c r="UG21" s="91">
        <f t="shared" si="323"/>
        <v>0</v>
      </c>
      <c r="UH21" s="95">
        <f t="shared" si="324"/>
        <v>66.347567199531738</v>
      </c>
      <c r="UI21" s="95">
        <f t="shared" si="325"/>
        <v>19090.385999999999</v>
      </c>
      <c r="UJ21" s="101">
        <f t="shared" si="326"/>
        <v>0</v>
      </c>
      <c r="UK21" s="101">
        <f t="shared" si="327"/>
        <v>66.347567199531738</v>
      </c>
      <c r="UL21" s="90" t="e">
        <f>(#REF!+#REF!+HZ21+LT21+LZ21+MF21+ML21+QL21+QN21+SN21+TC21+TM21+UC21)/I21</f>
        <v>#REF!</v>
      </c>
      <c r="UN21" s="90" t="e">
        <f>#REF!/I21</f>
        <v>#REF!</v>
      </c>
      <c r="UO21" s="90" t="e">
        <f>#REF!/I21</f>
        <v>#REF!</v>
      </c>
      <c r="UP21" s="90">
        <v>1.1499999999999999</v>
      </c>
      <c r="UQ21" s="90" t="e">
        <f t="shared" si="328"/>
        <v>#REF!</v>
      </c>
      <c r="UR21" s="90">
        <f t="shared" si="329"/>
        <v>7084.54</v>
      </c>
      <c r="US21" s="90">
        <f t="shared" si="330"/>
        <v>8460.9633333333331</v>
      </c>
      <c r="UT21" s="90">
        <f t="shared" si="331"/>
        <v>8460.9633333333331</v>
      </c>
      <c r="UU21" s="90">
        <f t="shared" si="516"/>
        <v>8790.2333333333336</v>
      </c>
      <c r="UV21" s="90">
        <f t="shared" si="333"/>
        <v>8671.8633333333328</v>
      </c>
      <c r="UW21" s="90">
        <f t="shared" si="334"/>
        <v>5.6199999999999992</v>
      </c>
      <c r="UX21" s="90">
        <f t="shared" si="335"/>
        <v>3.92</v>
      </c>
      <c r="UY21" s="90">
        <f t="shared" si="336"/>
        <v>3.801913942442023</v>
      </c>
      <c r="UZ21" s="100">
        <f t="shared" si="337"/>
        <v>3.5511981480000001</v>
      </c>
      <c r="VA21" s="90">
        <f t="shared" si="338"/>
        <v>0.64</v>
      </c>
      <c r="VB21" s="90">
        <f t="shared" si="339"/>
        <v>1.06</v>
      </c>
      <c r="VC21" s="90">
        <f t="shared" si="340"/>
        <v>0</v>
      </c>
      <c r="VD21" s="90">
        <f t="shared" si="341"/>
        <v>0</v>
      </c>
      <c r="VE21" s="90">
        <f t="shared" si="342"/>
        <v>0</v>
      </c>
      <c r="VF21" s="90">
        <f t="shared" si="343"/>
        <v>0</v>
      </c>
      <c r="VG21" s="90">
        <f t="shared" si="344"/>
        <v>0</v>
      </c>
      <c r="VH21" s="90">
        <f t="shared" si="345"/>
        <v>0</v>
      </c>
      <c r="VI21" s="90">
        <f t="shared" si="346"/>
        <v>0</v>
      </c>
      <c r="VJ21" s="90">
        <f t="shared" si="347"/>
        <v>0</v>
      </c>
      <c r="VK21" s="90">
        <f t="shared" si="348"/>
        <v>0.74</v>
      </c>
      <c r="VL21" s="90">
        <f t="shared" si="349"/>
        <v>3.64</v>
      </c>
      <c r="VM21" s="90">
        <f t="shared" si="350"/>
        <v>6.68</v>
      </c>
      <c r="VN21" s="90">
        <f t="shared" si="351"/>
        <v>0</v>
      </c>
      <c r="VO21" s="90">
        <f t="shared" si="352"/>
        <v>6.68</v>
      </c>
      <c r="VP21" s="97">
        <v>0</v>
      </c>
      <c r="VQ21" s="97">
        <v>17.61</v>
      </c>
      <c r="VR21" s="90">
        <f t="shared" si="353"/>
        <v>0.48</v>
      </c>
      <c r="VS21" s="90">
        <f t="shared" si="354"/>
        <v>0.17</v>
      </c>
      <c r="VT21" s="90">
        <v>0.11989898989898991</v>
      </c>
      <c r="VU21" s="90">
        <f t="shared" si="355"/>
        <v>0.16589999999999999</v>
      </c>
      <c r="VV21" s="90">
        <v>0.38175323599898991</v>
      </c>
      <c r="VW21" s="90">
        <f t="shared" si="356"/>
        <v>0.65</v>
      </c>
      <c r="VX21" s="90">
        <f t="shared" si="357"/>
        <v>16.59</v>
      </c>
      <c r="VY21" s="90">
        <f t="shared" si="358"/>
        <v>16.59</v>
      </c>
      <c r="VZ21" s="90">
        <f t="shared" si="359"/>
        <v>0</v>
      </c>
      <c r="WA21" s="90"/>
      <c r="WB21" s="90">
        <f t="shared" si="360"/>
        <v>16.59</v>
      </c>
      <c r="WC21" s="90">
        <f t="shared" si="361"/>
        <v>0</v>
      </c>
      <c r="WD21" s="90"/>
      <c r="WE21" s="90">
        <v>27.959999999999997</v>
      </c>
      <c r="WF21" s="90"/>
      <c r="WG21" s="90">
        <f t="shared" si="362"/>
        <v>11875.121999999999</v>
      </c>
      <c r="WH21" s="90">
        <f t="shared" si="363"/>
        <v>11875.121999999999</v>
      </c>
      <c r="WI21" s="90">
        <f t="shared" si="364"/>
        <v>11866.08</v>
      </c>
      <c r="WJ21" s="90">
        <f t="shared" si="365"/>
        <v>7084.54</v>
      </c>
      <c r="WK21" s="97">
        <v>12605.24</v>
      </c>
      <c r="WL21" s="97">
        <v>17.61</v>
      </c>
      <c r="WM21" s="90">
        <f t="shared" si="366"/>
        <v>12605.24</v>
      </c>
      <c r="WN21" s="90">
        <f t="shared" si="367"/>
        <v>17.61</v>
      </c>
      <c r="WO21" s="90"/>
      <c r="WP21" s="97">
        <v>27.959999999999997</v>
      </c>
      <c r="WQ21" s="90">
        <f t="shared" si="368"/>
        <v>16.59</v>
      </c>
      <c r="WR21" s="91">
        <f t="shared" si="369"/>
        <v>62.204724409448822</v>
      </c>
      <c r="WS21" s="91">
        <f t="shared" si="370"/>
        <v>147.07446808510639</v>
      </c>
      <c r="WT21" s="90">
        <f t="shared" si="371"/>
        <v>20013.77</v>
      </c>
      <c r="WU21" s="90">
        <f t="shared" si="372"/>
        <v>11866.08</v>
      </c>
      <c r="WV21" s="90">
        <f t="shared" si="373"/>
        <v>8147.6900000000005</v>
      </c>
      <c r="WW21" s="90">
        <v>15.39</v>
      </c>
      <c r="WX21" s="90"/>
      <c r="WY21" s="90"/>
      <c r="WZ21" s="90">
        <f t="shared" si="374"/>
        <v>17.799552525252526</v>
      </c>
      <c r="XA21" s="90">
        <v>0</v>
      </c>
      <c r="XB21" s="90">
        <f t="shared" si="375"/>
        <v>17.799552525252526</v>
      </c>
      <c r="XC21" s="90">
        <f t="shared" si="376"/>
        <v>0.84570000000000001</v>
      </c>
      <c r="XD21" s="90">
        <f t="shared" si="377"/>
        <v>0.28474747474747475</v>
      </c>
      <c r="XE21" s="90"/>
      <c r="XF21" s="90">
        <f t="shared" si="378"/>
        <v>28.19</v>
      </c>
      <c r="XG21" s="90">
        <v>17.656100419111482</v>
      </c>
      <c r="XH21" s="20">
        <v>26.669999999999998</v>
      </c>
      <c r="XI21" s="20">
        <v>0</v>
      </c>
      <c r="XJ21" s="20"/>
      <c r="XK21" s="20"/>
      <c r="XL21" s="20"/>
      <c r="XM21" s="20">
        <f t="shared" si="379"/>
        <v>26.669999999999998</v>
      </c>
      <c r="XN21" s="91">
        <f t="shared" si="380"/>
        <v>62.204724409448822</v>
      </c>
      <c r="XO21" s="20">
        <f t="shared" si="381"/>
        <v>26.669999999999998</v>
      </c>
      <c r="XP21" s="90">
        <f t="shared" si="382"/>
        <v>11.279999999999998</v>
      </c>
      <c r="XQ21" s="91">
        <f t="shared" si="383"/>
        <v>62.204724409448822</v>
      </c>
      <c r="XR21" s="102"/>
      <c r="XS21" s="90">
        <f t="shared" si="384"/>
        <v>3.64</v>
      </c>
      <c r="XT21" s="90">
        <f t="shared" si="385"/>
        <v>5.6199999999999992</v>
      </c>
      <c r="XU21" s="90">
        <f t="shared" si="386"/>
        <v>3.92</v>
      </c>
      <c r="XV21" s="90">
        <f t="shared" si="387"/>
        <v>0.64</v>
      </c>
      <c r="XW21" s="90">
        <f t="shared" si="388"/>
        <v>0.64</v>
      </c>
      <c r="XX21" s="90">
        <f t="shared" si="389"/>
        <v>0</v>
      </c>
      <c r="XY21" s="90">
        <f t="shared" si="390"/>
        <v>1.06</v>
      </c>
      <c r="XZ21" s="90">
        <f t="shared" si="391"/>
        <v>0</v>
      </c>
      <c r="YA21" s="90">
        <f t="shared" si="392"/>
        <v>0</v>
      </c>
      <c r="YB21" s="90">
        <f t="shared" si="393"/>
        <v>0</v>
      </c>
      <c r="YC21" s="90">
        <f t="shared" si="393"/>
        <v>0</v>
      </c>
      <c r="YD21" s="90">
        <f t="shared" si="394"/>
        <v>1.06</v>
      </c>
      <c r="YE21" s="90">
        <f t="shared" si="395"/>
        <v>6.68</v>
      </c>
      <c r="YF21" s="90">
        <f t="shared" si="396"/>
        <v>0.65</v>
      </c>
      <c r="YG21" s="90">
        <f t="shared" si="397"/>
        <v>16.59</v>
      </c>
      <c r="YI21" s="103" t="s">
        <v>442</v>
      </c>
      <c r="YK21" s="90">
        <f t="shared" si="398"/>
        <v>1.07</v>
      </c>
      <c r="YL21" s="90">
        <f t="shared" si="399"/>
        <v>0.64</v>
      </c>
      <c r="YM21" s="90">
        <f t="shared" si="399"/>
        <v>1.06</v>
      </c>
      <c r="YN21" s="90">
        <f t="shared" si="400"/>
        <v>3.64</v>
      </c>
      <c r="YO21" s="90">
        <f t="shared" si="401"/>
        <v>10.18</v>
      </c>
      <c r="YP21" s="90">
        <f t="shared" si="402"/>
        <v>0</v>
      </c>
      <c r="YQ21" s="90">
        <f t="shared" si="403"/>
        <v>16.59</v>
      </c>
      <c r="YR21" s="90">
        <f t="shared" si="404"/>
        <v>0</v>
      </c>
      <c r="YS21" s="104">
        <f t="shared" si="405"/>
        <v>16.59</v>
      </c>
      <c r="YT21" s="104">
        <f t="shared" si="406"/>
        <v>0</v>
      </c>
      <c r="YY21" s="90">
        <f t="shared" si="407"/>
        <v>7</v>
      </c>
      <c r="YZ21" s="90">
        <f t="shared" si="408"/>
        <v>4.18</v>
      </c>
      <c r="ZA21" s="90">
        <f t="shared" si="409"/>
        <v>0.56000000000000005</v>
      </c>
      <c r="ZB21" s="90">
        <f t="shared" si="410"/>
        <v>2.2599999999999998</v>
      </c>
      <c r="ZC21" s="90">
        <f t="shared" si="411"/>
        <v>0</v>
      </c>
      <c r="ZD21" s="90">
        <f t="shared" si="412"/>
        <v>0</v>
      </c>
      <c r="ZE21" s="90">
        <f t="shared" si="413"/>
        <v>0</v>
      </c>
      <c r="ZF21" s="90">
        <f t="shared" si="414"/>
        <v>0</v>
      </c>
      <c r="ZG21" s="90">
        <f t="shared" si="415"/>
        <v>0</v>
      </c>
      <c r="ZH21" s="90">
        <f t="shared" si="416"/>
        <v>0</v>
      </c>
      <c r="ZI21" s="90">
        <f t="shared" si="417"/>
        <v>0</v>
      </c>
      <c r="ZJ21" s="90">
        <f t="shared" si="418"/>
        <v>0</v>
      </c>
      <c r="ZK21" s="90">
        <f t="shared" si="419"/>
        <v>0</v>
      </c>
      <c r="ZL21" s="90">
        <f t="shared" si="420"/>
        <v>0.02</v>
      </c>
      <c r="ZM21" s="90">
        <f t="shared" si="421"/>
        <v>4.1100000000000003</v>
      </c>
      <c r="ZN21" s="90">
        <f t="shared" si="422"/>
        <v>7.95</v>
      </c>
      <c r="ZO21" s="90">
        <f t="shared" si="423"/>
        <v>7.74</v>
      </c>
      <c r="ZP21" s="90">
        <f t="shared" si="424"/>
        <v>5.69</v>
      </c>
      <c r="ZQ21" s="90">
        <f t="shared" si="425"/>
        <v>0</v>
      </c>
      <c r="ZR21" s="90">
        <f t="shared" si="426"/>
        <v>5.69</v>
      </c>
      <c r="ZS21" s="97">
        <v>227</v>
      </c>
      <c r="ZT21" s="97">
        <v>230.38</v>
      </c>
      <c r="ZU21" s="90">
        <f t="shared" si="427"/>
        <v>0.53</v>
      </c>
      <c r="ZV21" s="90">
        <f t="shared" si="428"/>
        <v>0.18</v>
      </c>
      <c r="ZW21" s="90">
        <v>0.11989898989898991</v>
      </c>
      <c r="ZX21" s="90">
        <f t="shared" si="429"/>
        <v>0.17510000000000001</v>
      </c>
      <c r="ZY21" s="90">
        <v>0.38175323599898991</v>
      </c>
      <c r="ZZ21" s="90">
        <f t="shared" si="430"/>
        <v>0.71</v>
      </c>
      <c r="AAA21" s="90">
        <f t="shared" si="431"/>
        <v>17.510000000000002</v>
      </c>
      <c r="AAB21" s="90">
        <f t="shared" si="432"/>
        <v>17.510000000000002</v>
      </c>
      <c r="AAC21" s="90">
        <f t="shared" si="433"/>
        <v>0</v>
      </c>
      <c r="AAD21" s="90"/>
      <c r="AAE21" s="90">
        <f t="shared" si="434"/>
        <v>17.510000000000002</v>
      </c>
      <c r="AAF21" s="90">
        <v>16.59</v>
      </c>
      <c r="AAG21" s="90">
        <f t="shared" si="435"/>
        <v>105.54550934297771</v>
      </c>
      <c r="AAH21" s="90">
        <f t="shared" si="436"/>
        <v>0</v>
      </c>
      <c r="AAI21" s="90">
        <v>0</v>
      </c>
      <c r="AAJ21" s="90"/>
      <c r="AAK21" s="1">
        <v>17.22</v>
      </c>
      <c r="AAL21" s="104">
        <f t="shared" si="437"/>
        <v>0.2900000000000027</v>
      </c>
      <c r="AAM21" s="103" t="s">
        <v>478</v>
      </c>
      <c r="AAN21" s="105">
        <v>6.9499999999999993</v>
      </c>
      <c r="AAO21" s="90">
        <f t="shared" si="438"/>
        <v>7.76</v>
      </c>
      <c r="AAP21" s="90">
        <v>4.21</v>
      </c>
      <c r="AAQ21" s="90">
        <f t="shared" si="439"/>
        <v>4.18</v>
      </c>
      <c r="AAR21" s="90">
        <v>0.56000000000000005</v>
      </c>
      <c r="AAS21" s="90">
        <f t="shared" si="440"/>
        <v>0.86</v>
      </c>
      <c r="AAT21" s="90">
        <f t="shared" si="441"/>
        <v>153.57142857142856</v>
      </c>
      <c r="AAU21" s="90">
        <v>2.1800000000000002</v>
      </c>
      <c r="AAV21" s="90">
        <f t="shared" si="442"/>
        <v>2.2599999999999998</v>
      </c>
      <c r="AAW21" s="90">
        <f t="shared" si="443"/>
        <v>103.66972477064218</v>
      </c>
      <c r="AAX21" s="90">
        <f t="shared" si="444"/>
        <v>0.46</v>
      </c>
      <c r="AAY21" s="90">
        <f t="shared" si="445"/>
        <v>0</v>
      </c>
      <c r="AAZ21" s="90">
        <f t="shared" si="446"/>
        <v>0</v>
      </c>
      <c r="ABA21" s="90">
        <f t="shared" si="447"/>
        <v>0</v>
      </c>
      <c r="ABB21" s="90">
        <f t="shared" si="448"/>
        <v>0</v>
      </c>
      <c r="ABC21" s="90">
        <v>0</v>
      </c>
      <c r="ABD21" s="90">
        <f t="shared" si="449"/>
        <v>0</v>
      </c>
      <c r="ABE21" s="90"/>
      <c r="ABF21" s="90">
        <v>0</v>
      </c>
      <c r="ABG21" s="90">
        <f t="shared" si="450"/>
        <v>0</v>
      </c>
      <c r="ABH21" s="90"/>
      <c r="ABI21" s="90">
        <f t="shared" si="451"/>
        <v>0</v>
      </c>
      <c r="ABJ21" s="90">
        <f t="shared" si="452"/>
        <v>0</v>
      </c>
      <c r="ABK21" s="90">
        <v>0</v>
      </c>
      <c r="ABL21" s="90">
        <f t="shared" si="453"/>
        <v>0</v>
      </c>
      <c r="ABM21" s="90">
        <f t="shared" si="454"/>
        <v>0</v>
      </c>
      <c r="ABN21" s="90">
        <f t="shared" si="455"/>
        <v>0.02</v>
      </c>
      <c r="ABO21" s="90">
        <v>3.91</v>
      </c>
      <c r="ABP21" s="90">
        <f t="shared" si="456"/>
        <v>4.1100000000000003</v>
      </c>
      <c r="ABQ21" s="90">
        <f t="shared" si="457"/>
        <v>105.1150895140665</v>
      </c>
      <c r="ABR21" s="90">
        <f t="shared" si="458"/>
        <v>7.95</v>
      </c>
      <c r="ABS21" s="90">
        <f t="shared" si="459"/>
        <v>7.74</v>
      </c>
      <c r="ABT21" s="90">
        <v>5.69</v>
      </c>
      <c r="ABU21" s="90">
        <f t="shared" si="460"/>
        <v>5.69</v>
      </c>
      <c r="ABV21" s="90">
        <f t="shared" si="461"/>
        <v>100</v>
      </c>
      <c r="ABW21" s="90">
        <f t="shared" si="462"/>
        <v>0</v>
      </c>
      <c r="ABX21" s="90">
        <f t="shared" si="463"/>
        <v>5.69</v>
      </c>
      <c r="ABY21" s="97">
        <v>227</v>
      </c>
      <c r="ABZ21" s="97">
        <v>230.38</v>
      </c>
      <c r="ACA21" s="90">
        <f t="shared" si="464"/>
        <v>0.53</v>
      </c>
      <c r="ACB21" s="90">
        <f t="shared" si="465"/>
        <v>0.18</v>
      </c>
      <c r="ACC21" s="90">
        <v>0.11989898989898991</v>
      </c>
      <c r="ACD21" s="90">
        <f t="shared" si="466"/>
        <v>0.17810000000000004</v>
      </c>
      <c r="ACE21" s="90">
        <v>0.38175323599898991</v>
      </c>
      <c r="ACF21" s="90">
        <v>0.67</v>
      </c>
      <c r="ACG21" s="90">
        <f t="shared" si="467"/>
        <v>0.71</v>
      </c>
      <c r="ACH21" s="90">
        <f t="shared" si="468"/>
        <v>105.97014925373134</v>
      </c>
      <c r="ACI21" s="90">
        <f t="shared" si="469"/>
        <v>18.270000000000003</v>
      </c>
      <c r="ACJ21" s="90">
        <f t="shared" si="470"/>
        <v>17.810000000000002</v>
      </c>
      <c r="ACK21" s="90">
        <f t="shared" si="471"/>
        <v>-0.46000000000000085</v>
      </c>
      <c r="ACL21" s="90"/>
      <c r="ACM21" s="90">
        <f t="shared" si="472"/>
        <v>18.270000000000003</v>
      </c>
      <c r="ACN21" s="90">
        <f t="shared" si="473"/>
        <v>0</v>
      </c>
      <c r="ACO21" s="90">
        <f t="shared" si="474"/>
        <v>18.270000000000003</v>
      </c>
      <c r="ACP21" s="90">
        <v>17.220000000000002</v>
      </c>
      <c r="ACQ21" s="90">
        <f t="shared" si="475"/>
        <v>106.09756097560977</v>
      </c>
      <c r="ACR21" s="90">
        <f t="shared" si="476"/>
        <v>0</v>
      </c>
      <c r="ACS21" s="90">
        <v>0</v>
      </c>
      <c r="ACT21" s="90"/>
      <c r="ACU21" s="90">
        <f t="shared" si="477"/>
        <v>18.098220000000001</v>
      </c>
      <c r="ACV21" s="90">
        <f t="shared" si="478"/>
        <v>-0.17178000000000182</v>
      </c>
      <c r="ACX21" s="106" t="s">
        <v>479</v>
      </c>
      <c r="ACY21" s="107">
        <v>66000</v>
      </c>
      <c r="ACZ21" s="107">
        <v>40000</v>
      </c>
      <c r="ADB21" s="90">
        <f t="shared" si="479"/>
        <v>4.1100000000000003</v>
      </c>
      <c r="ADC21" s="90">
        <f t="shared" si="480"/>
        <v>7.76</v>
      </c>
      <c r="ADD21" s="90">
        <f t="shared" si="481"/>
        <v>4.18</v>
      </c>
      <c r="ADE21" s="90">
        <f t="shared" si="517"/>
        <v>1.32</v>
      </c>
      <c r="ADF21" s="90">
        <f t="shared" si="483"/>
        <v>0.86</v>
      </c>
      <c r="ADG21" s="90">
        <f t="shared" si="484"/>
        <v>0.46</v>
      </c>
      <c r="ADH21" s="90">
        <f t="shared" si="484"/>
        <v>0</v>
      </c>
      <c r="ADI21" s="90">
        <f t="shared" si="484"/>
        <v>0</v>
      </c>
      <c r="ADJ21" s="90">
        <f t="shared" si="485"/>
        <v>2.2599999999999998</v>
      </c>
      <c r="ADK21" s="90">
        <f t="shared" si="486"/>
        <v>0</v>
      </c>
      <c r="ADL21" s="90">
        <f t="shared" si="487"/>
        <v>0</v>
      </c>
      <c r="ADM21" s="90">
        <f t="shared" si="488"/>
        <v>0</v>
      </c>
      <c r="ADN21" s="90">
        <f t="shared" si="488"/>
        <v>0</v>
      </c>
      <c r="ADO21" s="90">
        <f t="shared" si="489"/>
        <v>2.2599999999999998</v>
      </c>
      <c r="ADP21" s="90">
        <f t="shared" si="490"/>
        <v>5.69</v>
      </c>
      <c r="ADQ21" s="90">
        <f t="shared" si="491"/>
        <v>0.71</v>
      </c>
      <c r="ADR21" s="90">
        <f t="shared" si="492"/>
        <v>18.270000000000003</v>
      </c>
      <c r="ADU21" s="90">
        <f t="shared" si="493"/>
        <v>1.1499999999999999</v>
      </c>
      <c r="ADV21" s="90">
        <f t="shared" si="494"/>
        <v>0.86</v>
      </c>
      <c r="ADW21" s="90">
        <f t="shared" si="495"/>
        <v>2.2599999999999998</v>
      </c>
      <c r="ADX21" s="90">
        <f t="shared" si="496"/>
        <v>4.1100000000000003</v>
      </c>
      <c r="ADY21" s="90">
        <f t="shared" si="497"/>
        <v>9.43</v>
      </c>
      <c r="ADZ21" s="90">
        <f t="shared" si="498"/>
        <v>0</v>
      </c>
      <c r="AEA21" s="90">
        <f t="shared" si="499"/>
        <v>18.270000000000003</v>
      </c>
      <c r="AEB21" s="90">
        <f t="shared" si="500"/>
        <v>0</v>
      </c>
      <c r="AEC21" s="104">
        <f t="shared" si="501"/>
        <v>17.809999999999999</v>
      </c>
      <c r="AED21" s="104">
        <f t="shared" si="502"/>
        <v>0.46000000000000441</v>
      </c>
      <c r="AEG21" s="1">
        <v>6.9499999999999993</v>
      </c>
      <c r="AEH21" s="1">
        <v>4.21</v>
      </c>
      <c r="AEI21" s="1">
        <v>0.56000000000000005</v>
      </c>
      <c r="AEJ21" s="1">
        <v>2.1800000000000002</v>
      </c>
      <c r="AEK21" s="1">
        <v>0</v>
      </c>
      <c r="AEL21" s="1">
        <v>0</v>
      </c>
      <c r="AEM21" s="1">
        <v>0</v>
      </c>
      <c r="AEN21" s="1">
        <v>0</v>
      </c>
      <c r="AEO21" s="1">
        <v>0</v>
      </c>
      <c r="AEP21" s="1">
        <v>0</v>
      </c>
      <c r="AEQ21" s="1">
        <v>0</v>
      </c>
      <c r="AER21" s="1">
        <v>0</v>
      </c>
      <c r="AES21" s="1">
        <v>0</v>
      </c>
      <c r="AET21" s="1">
        <v>0</v>
      </c>
      <c r="AEU21" s="1">
        <v>0</v>
      </c>
      <c r="AEV21" s="1">
        <v>0.02</v>
      </c>
      <c r="AEW21" s="1">
        <v>3.91</v>
      </c>
      <c r="AEX21" s="1">
        <v>7.870000000000001</v>
      </c>
      <c r="AEY21" s="1">
        <v>7.74</v>
      </c>
      <c r="AEZ21" s="1">
        <v>5.69</v>
      </c>
      <c r="AFA21" s="1">
        <v>0</v>
      </c>
      <c r="AFB21" s="1">
        <v>5.69</v>
      </c>
      <c r="AFC21" s="1">
        <v>227</v>
      </c>
      <c r="AFD21" s="1">
        <v>230.38</v>
      </c>
      <c r="AFE21" s="1">
        <v>0.5</v>
      </c>
      <c r="AFF21" s="1">
        <v>0.17</v>
      </c>
      <c r="AFG21" s="1">
        <v>0.11989898989898991</v>
      </c>
      <c r="AFH21" s="1">
        <v>0.17220000000000002</v>
      </c>
      <c r="AFI21" s="1">
        <v>0.38175323599898991</v>
      </c>
      <c r="AFJ21" s="1">
        <v>0.67</v>
      </c>
      <c r="AFK21" s="1">
        <v>17.220000000000002</v>
      </c>
      <c r="AFL21" s="1">
        <v>17.220000000000002</v>
      </c>
      <c r="AFM21" s="1">
        <v>0</v>
      </c>
      <c r="AFO21" s="1">
        <v>17.220000000000002</v>
      </c>
      <c r="AFP21" s="1">
        <v>0</v>
      </c>
      <c r="AFQ21" s="1">
        <v>17.22</v>
      </c>
      <c r="AFX21" s="1">
        <v>18</v>
      </c>
    </row>
    <row r="22" spans="1:856" s="1" customFormat="1" ht="63.75" customHeight="1">
      <c r="A22" s="88">
        <v>14</v>
      </c>
      <c r="B22" s="20"/>
      <c r="C22" s="89" t="s">
        <v>480</v>
      </c>
      <c r="D22" s="20"/>
      <c r="E22" s="20" t="s">
        <v>437</v>
      </c>
      <c r="F22" s="20" t="s">
        <v>438</v>
      </c>
      <c r="G22" s="20">
        <v>0.8</v>
      </c>
      <c r="H22" s="20">
        <v>560.72</v>
      </c>
      <c r="I22" s="20">
        <f>560.72+0.58+10.93-0.2+1.58+1.03+1.42+1.52+1.13+1.28+0.13+3.07+1.38+0.57</f>
        <v>585.14</v>
      </c>
      <c r="J22" s="90">
        <f t="shared" si="0"/>
        <v>468.11200000000002</v>
      </c>
      <c r="K22" s="20">
        <v>16</v>
      </c>
      <c r="L22" s="20"/>
      <c r="M22" s="20"/>
      <c r="N22" s="20"/>
      <c r="O22" s="90">
        <f t="shared" si="1"/>
        <v>0</v>
      </c>
      <c r="P22" s="20"/>
      <c r="Q22" s="20"/>
      <c r="R22" s="90">
        <f t="shared" si="2"/>
        <v>0</v>
      </c>
      <c r="S22" s="20">
        <v>206.7</v>
      </c>
      <c r="T22" s="20">
        <v>2.6</v>
      </c>
      <c r="U22" s="20">
        <v>3.13</v>
      </c>
      <c r="V22" s="91">
        <f t="shared" si="3"/>
        <v>1682.12</v>
      </c>
      <c r="W22" s="20">
        <v>2.1000000000000001E-2</v>
      </c>
      <c r="X22" s="20">
        <f t="shared" si="4"/>
        <v>33.42</v>
      </c>
      <c r="Y22" s="91">
        <f t="shared" si="5"/>
        <v>145.07</v>
      </c>
      <c r="Z22" s="20"/>
      <c r="AA22" s="20"/>
      <c r="AB22" s="20"/>
      <c r="AC22" s="91">
        <f t="shared" si="6"/>
        <v>1827.19</v>
      </c>
      <c r="AD22" s="90">
        <f t="shared" si="7"/>
        <v>3.12</v>
      </c>
      <c r="AE22" s="92">
        <f t="shared" si="8"/>
        <v>21926.28</v>
      </c>
      <c r="AF22" s="20">
        <v>40</v>
      </c>
      <c r="AG22" s="20">
        <v>39</v>
      </c>
      <c r="AH22" s="20">
        <v>39</v>
      </c>
      <c r="AI22" s="20">
        <f>1+38</f>
        <v>39</v>
      </c>
      <c r="AJ22" s="20">
        <v>1.6</v>
      </c>
      <c r="AK22" s="90">
        <f t="shared" si="9"/>
        <v>5.2</v>
      </c>
      <c r="AL22" s="90">
        <v>391.01</v>
      </c>
      <c r="AM22" s="90">
        <f t="shared" si="10"/>
        <v>2033.25</v>
      </c>
      <c r="AN22" s="20">
        <v>42</v>
      </c>
      <c r="AO22" s="20">
        <v>41</v>
      </c>
      <c r="AP22" s="20">
        <v>40</v>
      </c>
      <c r="AQ22" s="20">
        <v>42</v>
      </c>
      <c r="AR22" s="20">
        <v>41</v>
      </c>
      <c r="AS22" s="20">
        <f>1+39</f>
        <v>40</v>
      </c>
      <c r="AT22" s="20">
        <f t="shared" si="11"/>
        <v>1</v>
      </c>
      <c r="AU22" s="20">
        <v>1.6</v>
      </c>
      <c r="AV22" s="90">
        <f t="shared" si="12"/>
        <v>5.33</v>
      </c>
      <c r="AW22" s="90">
        <f>ROUND((179.74*6+181.82*6)/12,2)</f>
        <v>180.78</v>
      </c>
      <c r="AX22" s="90">
        <v>964.16</v>
      </c>
      <c r="AY22" s="90">
        <f t="shared" si="14"/>
        <v>1.65</v>
      </c>
      <c r="AZ22" s="90">
        <f t="shared" si="15"/>
        <v>2085.39</v>
      </c>
      <c r="BA22" s="90">
        <f t="shared" si="16"/>
        <v>-1121.23</v>
      </c>
      <c r="BB22" s="90">
        <v>964.16</v>
      </c>
      <c r="BC22" s="90">
        <v>1.65</v>
      </c>
      <c r="BD22" s="92">
        <f t="shared" si="17"/>
        <v>11569.92</v>
      </c>
      <c r="BE22" s="90"/>
      <c r="BF22" s="90">
        <f t="shared" si="18"/>
        <v>0</v>
      </c>
      <c r="BG22" s="90">
        <v>391.01</v>
      </c>
      <c r="BH22" s="90">
        <f t="shared" si="19"/>
        <v>2084.08</v>
      </c>
      <c r="BI22" s="90">
        <f t="shared" si="20"/>
        <v>3.56</v>
      </c>
      <c r="BJ22" s="90">
        <f t="shared" si="21"/>
        <v>215.75757575757578</v>
      </c>
      <c r="BK22" s="90">
        <f t="shared" si="22"/>
        <v>2084.08</v>
      </c>
      <c r="BL22" s="90">
        <f t="shared" si="23"/>
        <v>3.56</v>
      </c>
      <c r="BM22" s="90"/>
      <c r="BN22" s="90">
        <f t="shared" si="24"/>
        <v>0</v>
      </c>
      <c r="BO22" s="90">
        <f t="shared" si="25"/>
        <v>2084.08</v>
      </c>
      <c r="BP22" s="90">
        <f t="shared" si="26"/>
        <v>3.5616775472536486</v>
      </c>
      <c r="BQ22" s="90"/>
      <c r="BR22" s="90">
        <f t="shared" si="27"/>
        <v>0</v>
      </c>
      <c r="BS22" s="90">
        <f t="shared" si="28"/>
        <v>2084.08</v>
      </c>
      <c r="BT22" s="90">
        <f t="shared" si="29"/>
        <v>3.5616775472536486</v>
      </c>
      <c r="BU22" s="90"/>
      <c r="BV22" s="93">
        <v>1.4356370000000001</v>
      </c>
      <c r="BW22" s="90">
        <f t="shared" si="30"/>
        <v>840.04863418000002</v>
      </c>
      <c r="BX22" s="90">
        <f t="shared" si="31"/>
        <v>890.45155223080008</v>
      </c>
      <c r="BY22" s="90"/>
      <c r="BZ22" s="90"/>
      <c r="CA22" s="90">
        <v>0.2651</v>
      </c>
      <c r="CB22" s="90">
        <f t="shared" si="518"/>
        <v>155.12061399999999</v>
      </c>
      <c r="CC22" s="90">
        <v>0.71072749999999996</v>
      </c>
      <c r="CD22" s="90">
        <f t="shared" si="33"/>
        <v>110.24848618668499</v>
      </c>
      <c r="CE22" s="90">
        <f t="shared" si="34"/>
        <v>166.70690561874781</v>
      </c>
      <c r="CF22" s="90">
        <f>I22*0.278131672</f>
        <v>162.74596655407998</v>
      </c>
      <c r="CG22" s="90">
        <f>I22*0.278131672</f>
        <v>162.74596655407998</v>
      </c>
      <c r="CH22" s="90">
        <f t="shared" si="35"/>
        <v>170.56</v>
      </c>
      <c r="CI22" s="90">
        <f>I22*0.305907762</f>
        <v>178.99886785668002</v>
      </c>
      <c r="CJ22" s="90">
        <f t="shared" si="36"/>
        <v>179.94</v>
      </c>
      <c r="CK22" s="90">
        <f t="shared" si="37"/>
        <v>190.30518466592449</v>
      </c>
      <c r="CL22" s="90">
        <f t="shared" si="38"/>
        <v>190.30518466592449</v>
      </c>
      <c r="CM22" s="94">
        <v>0.14899999999999999</v>
      </c>
      <c r="CN22" s="90">
        <f t="shared" si="39"/>
        <v>125.16724649282</v>
      </c>
      <c r="CO22" s="90">
        <f t="shared" si="40"/>
        <v>132.6772812823892</v>
      </c>
      <c r="CP22" s="90"/>
      <c r="CQ22" s="90">
        <v>3.9538999999999998E-2</v>
      </c>
      <c r="CR22" s="90">
        <f t="shared" si="519"/>
        <v>23.135850459999997</v>
      </c>
      <c r="CS22" s="90">
        <v>0.71072749999999996</v>
      </c>
      <c r="CT22" s="90">
        <f t="shared" si="42"/>
        <v>16.443285157809648</v>
      </c>
      <c r="CU22" s="90">
        <f t="shared" si="43"/>
        <v>24.863916790870125</v>
      </c>
      <c r="CV22" s="90">
        <f>I22*0.085943035</f>
        <v>50.288707499899999</v>
      </c>
      <c r="CW22" s="90">
        <f t="shared" si="44"/>
        <v>52.7</v>
      </c>
      <c r="CX22" s="90">
        <f>I22*0.094524583</f>
        <v>55.310114496619995</v>
      </c>
      <c r="CY22" s="90">
        <f t="shared" si="45"/>
        <v>55.6</v>
      </c>
      <c r="CZ22" s="90">
        <f t="shared" si="46"/>
        <v>58.803732555450829</v>
      </c>
      <c r="DA22" s="90">
        <f t="shared" si="47"/>
        <v>58.803732555450829</v>
      </c>
      <c r="DB22" s="93">
        <v>1.4169099999999999</v>
      </c>
      <c r="DC22" s="90">
        <f t="shared" si="48"/>
        <v>829.0907173999999</v>
      </c>
      <c r="DD22" s="90">
        <f t="shared" si="49"/>
        <v>878.83616044399992</v>
      </c>
      <c r="DE22" s="90"/>
      <c r="DF22" s="90"/>
      <c r="DG22" s="90">
        <v>0.16261541099999999</v>
      </c>
      <c r="DH22" s="90">
        <f t="shared" si="520"/>
        <v>95.152781592539995</v>
      </c>
      <c r="DI22" s="90">
        <v>0.71072749999999996</v>
      </c>
      <c r="DJ22" s="90">
        <f t="shared" si="51"/>
        <v>67.627698579311968</v>
      </c>
      <c r="DK22" s="90">
        <f t="shared" si="52"/>
        <v>102.2599470906484</v>
      </c>
      <c r="DL22" s="90">
        <f>I22*0.138252275</f>
        <v>80.896936193499997</v>
      </c>
      <c r="DM22" s="90">
        <f t="shared" si="53"/>
        <v>84.78</v>
      </c>
      <c r="DN22" s="90">
        <f>I22*0.152065188</f>
        <v>88.979424106319996</v>
      </c>
      <c r="DO22" s="90">
        <f t="shared" si="54"/>
        <v>89.44</v>
      </c>
      <c r="DP22" s="90">
        <f t="shared" si="55"/>
        <v>94.599736516651447</v>
      </c>
      <c r="DQ22" s="90">
        <f t="shared" si="56"/>
        <v>94.599736516651447</v>
      </c>
      <c r="DR22" s="93">
        <v>5.6880149999999997E-2</v>
      </c>
      <c r="DS22" s="90">
        <f t="shared" si="57"/>
        <v>33.282850970999995</v>
      </c>
      <c r="DT22" s="90">
        <f t="shared" si="58"/>
        <v>35.279822029259996</v>
      </c>
      <c r="DU22" s="90"/>
      <c r="DV22" s="90">
        <v>6.1506E-3</v>
      </c>
      <c r="DW22" s="90">
        <f t="shared" si="521"/>
        <v>3.5989620840000001</v>
      </c>
      <c r="DX22" s="90">
        <v>0.71072749999999996</v>
      </c>
      <c r="DY22" s="90">
        <f t="shared" si="60"/>
        <v>2.5578813245561101</v>
      </c>
      <c r="DZ22" s="90">
        <f t="shared" si="61"/>
        <v>3.8677762870564716</v>
      </c>
      <c r="EA22" s="90">
        <f t="shared" si="62"/>
        <v>4.05</v>
      </c>
      <c r="EB22" s="90">
        <f>I22*0.007271122</f>
        <v>4.2546243270799993</v>
      </c>
      <c r="EC22" s="90">
        <f t="shared" si="63"/>
        <v>4.2699999999999996</v>
      </c>
      <c r="ED22" s="90">
        <f t="shared" si="64"/>
        <v>4.5233641862884992</v>
      </c>
      <c r="EE22" s="90">
        <f t="shared" si="65"/>
        <v>4.5233641862884992</v>
      </c>
      <c r="EF22" s="94">
        <v>0.85293354333000004</v>
      </c>
      <c r="EG22" s="90">
        <f t="shared" si="66"/>
        <v>399.26842683529298</v>
      </c>
      <c r="EH22" s="90">
        <f t="shared" si="67"/>
        <v>423.2245324454106</v>
      </c>
      <c r="EI22" s="90"/>
      <c r="EJ22" s="90">
        <v>0.58975</v>
      </c>
      <c r="EK22" s="90">
        <f t="shared" si="68"/>
        <v>276.069052</v>
      </c>
      <c r="EL22" s="90">
        <v>0.71072749999999996</v>
      </c>
      <c r="EM22" s="90">
        <f t="shared" si="69"/>
        <v>196.20986715532999</v>
      </c>
      <c r="EN22" s="90">
        <f t="shared" si="70"/>
        <v>296.68924206309032</v>
      </c>
      <c r="EO22" s="90">
        <f>J22*0.618109696</f>
        <v>289.34456601395203</v>
      </c>
      <c r="EP22" s="90">
        <f t="shared" si="71"/>
        <v>303.23</v>
      </c>
      <c r="EQ22" s="90">
        <f>I22*0.543879907</f>
        <v>318.24588878198</v>
      </c>
      <c r="ER22" s="90">
        <f t="shared" si="72"/>
        <v>319.91000000000003</v>
      </c>
      <c r="ES22" s="90">
        <f t="shared" si="73"/>
        <v>338.3476295633219</v>
      </c>
      <c r="ET22" s="90">
        <f t="shared" si="74"/>
        <v>338.3476295633219</v>
      </c>
      <c r="EU22" s="94">
        <v>0.14899999999999999</v>
      </c>
      <c r="EV22" s="90">
        <f t="shared" si="75"/>
        <v>59.490995598458653</v>
      </c>
      <c r="EW22" s="90">
        <f t="shared" si="76"/>
        <v>63.060455334366175</v>
      </c>
      <c r="EX22" s="90"/>
      <c r="EY22" s="90">
        <v>8.7870000000000004E-2</v>
      </c>
      <c r="EZ22" s="90">
        <f t="shared" si="77"/>
        <v>41.133001440000001</v>
      </c>
      <c r="FA22" s="90">
        <v>0.71072749999999996</v>
      </c>
      <c r="FB22" s="90">
        <f t="shared" si="78"/>
        <v>29.2343552809476</v>
      </c>
      <c r="FC22" s="90">
        <f t="shared" si="79"/>
        <v>44.20531360760279</v>
      </c>
      <c r="FD22" s="90">
        <f>J22*0.19112956</f>
        <v>89.470040590720004</v>
      </c>
      <c r="FE22" s="90">
        <f t="shared" si="80"/>
        <v>93.76</v>
      </c>
      <c r="FF22" s="90">
        <f>I22*0.168169376</f>
        <v>98.402628672640006</v>
      </c>
      <c r="FG22" s="90">
        <f t="shared" si="81"/>
        <v>98.92</v>
      </c>
      <c r="FH22" s="90">
        <f t="shared" si="82"/>
        <v>104.61815007764756</v>
      </c>
      <c r="FI22" s="90">
        <f t="shared" si="83"/>
        <v>104.61815007764756</v>
      </c>
      <c r="FJ22" s="93">
        <v>0.49981642240000002</v>
      </c>
      <c r="FK22" s="90">
        <f t="shared" si="84"/>
        <v>233.97006512250883</v>
      </c>
      <c r="FL22" s="90">
        <f t="shared" si="85"/>
        <v>248.00826902985938</v>
      </c>
      <c r="FM22" s="90"/>
      <c r="FN22" s="90">
        <v>0.35812500000000003</v>
      </c>
      <c r="FO22" s="90">
        <f t="shared" si="86"/>
        <v>167.64261000000002</v>
      </c>
      <c r="FP22" s="90">
        <v>0.71072749999999996</v>
      </c>
      <c r="FQ22" s="90">
        <f t="shared" si="87"/>
        <v>119.148213098775</v>
      </c>
      <c r="FR22" s="90">
        <f t="shared" si="88"/>
        <v>180.16419637786217</v>
      </c>
      <c r="FS22" s="90">
        <f>J22*0.303398167</f>
        <v>142.02432275070402</v>
      </c>
      <c r="FT22" s="90">
        <f t="shared" si="89"/>
        <v>148.84</v>
      </c>
      <c r="FU22" s="90">
        <f>J22*0.303652342</f>
        <v>142.14330511830403</v>
      </c>
      <c r="FV22" s="90">
        <f t="shared" si="90"/>
        <v>148.97</v>
      </c>
      <c r="FW22" s="90">
        <f>I22*0.267182306</f>
        <v>156.33905453283998</v>
      </c>
      <c r="FX22" s="90">
        <f t="shared" si="91"/>
        <v>157.16</v>
      </c>
      <c r="FY22" s="90">
        <f t="shared" si="92"/>
        <v>166.21408280185298</v>
      </c>
      <c r="FZ22" s="90">
        <f t="shared" si="93"/>
        <v>166.21408280185298</v>
      </c>
      <c r="GA22" s="94">
        <v>1.352261642E-2</v>
      </c>
      <c r="GB22" s="90">
        <f t="shared" si="94"/>
        <v>6.3300990175990401</v>
      </c>
      <c r="GC22" s="90">
        <f t="shared" si="95"/>
        <v>6.7099049586549828</v>
      </c>
      <c r="GD22" s="90"/>
      <c r="GE22" s="90">
        <v>1.0749999999999999E-2</v>
      </c>
      <c r="GF22" s="90">
        <f t="shared" si="96"/>
        <v>5.0322040000000001</v>
      </c>
      <c r="GG22" s="90">
        <v>0.71072749999999996</v>
      </c>
      <c r="GH22" s="90">
        <f t="shared" si="97"/>
        <v>3.5765257684099998</v>
      </c>
      <c r="GI22" s="90">
        <f t="shared" si="98"/>
        <v>5.4080701181487418</v>
      </c>
      <c r="GJ22" s="90">
        <f t="shared" si="99"/>
        <v>5.67</v>
      </c>
      <c r="GK22" s="90">
        <f>I22*0.010161617</f>
        <v>5.9459685713799999</v>
      </c>
      <c r="GL22" s="90">
        <f t="shared" si="100"/>
        <v>5.98</v>
      </c>
      <c r="GM22" s="90">
        <f t="shared" si="101"/>
        <v>6.3215408038237273</v>
      </c>
      <c r="GN22" s="90">
        <f t="shared" si="102"/>
        <v>6.3215408038237273</v>
      </c>
      <c r="GO22" s="90">
        <v>3225.6</v>
      </c>
      <c r="GP22" s="90">
        <f t="shared" si="103"/>
        <v>268.8</v>
      </c>
      <c r="GQ22" s="90">
        <f>2116.8+138.6</f>
        <v>2255.4</v>
      </c>
      <c r="GR22" s="90">
        <f t="shared" si="104"/>
        <v>187.95000000000002</v>
      </c>
      <c r="GS22" s="90">
        <f t="shared" si="105"/>
        <v>456.75</v>
      </c>
      <c r="GT22" s="90">
        <f t="shared" si="106"/>
        <v>0.78</v>
      </c>
      <c r="GU22" s="90">
        <v>3070.4</v>
      </c>
      <c r="GV22" s="90">
        <f>1672+110.2</f>
        <v>1782.2</v>
      </c>
      <c r="GW22" s="90">
        <f t="shared" si="107"/>
        <v>404.38333333333338</v>
      </c>
      <c r="GX22" s="90">
        <f t="shared" si="108"/>
        <v>0.69</v>
      </c>
      <c r="GY22" s="90">
        <v>5487.2</v>
      </c>
      <c r="GZ22" s="90">
        <f>1778.4+117.8</f>
        <v>1896.2</v>
      </c>
      <c r="HA22" s="90">
        <f t="shared" si="109"/>
        <v>615.2833333333333</v>
      </c>
      <c r="HB22" s="90">
        <f t="shared" si="110"/>
        <v>1.05</v>
      </c>
      <c r="HC22" s="90">
        <v>5487.2</v>
      </c>
      <c r="HD22" s="90">
        <f>1778.4+117.8</f>
        <v>1896.2</v>
      </c>
      <c r="HE22" s="90">
        <f t="shared" si="111"/>
        <v>615.2833333333333</v>
      </c>
      <c r="HF22" s="90">
        <f t="shared" si="112"/>
        <v>1.05</v>
      </c>
      <c r="HG22" s="90"/>
      <c r="HH22" s="90"/>
      <c r="HI22" s="90">
        <v>0.96</v>
      </c>
      <c r="HJ22" s="90">
        <f t="shared" si="113"/>
        <v>561.73439999999994</v>
      </c>
      <c r="HK22" s="90">
        <f t="shared" si="114"/>
        <v>1.0060840140821001</v>
      </c>
      <c r="HL22" s="90">
        <f t="shared" si="115"/>
        <v>588.70000000000005</v>
      </c>
      <c r="HM22" s="90">
        <v>1.07</v>
      </c>
      <c r="HN22" s="90">
        <f t="shared" si="116"/>
        <v>626.09980000000007</v>
      </c>
      <c r="HO22" s="90">
        <v>1.1499999999999999</v>
      </c>
      <c r="HP22" s="90">
        <f t="shared" si="117"/>
        <v>672.91</v>
      </c>
      <c r="HQ22" s="90">
        <v>1.1499999999999999</v>
      </c>
      <c r="HR22" s="90">
        <f t="shared" si="118"/>
        <v>672.91</v>
      </c>
      <c r="HS22" s="90">
        <v>0.31919999999999998</v>
      </c>
      <c r="HT22" s="90">
        <f t="shared" si="119"/>
        <v>186.77668799999998</v>
      </c>
      <c r="HU22" s="90" t="e">
        <f>HT22*#REF!</f>
        <v>#REF!</v>
      </c>
      <c r="HV22" s="90">
        <v>2.83</v>
      </c>
      <c r="HW22" s="90">
        <v>3.1</v>
      </c>
      <c r="HX22" s="90">
        <f t="shared" si="120"/>
        <v>1813.934</v>
      </c>
      <c r="HY22" s="90">
        <v>1.06</v>
      </c>
      <c r="HZ22" s="90">
        <f t="shared" si="121"/>
        <v>1922.7700400000001</v>
      </c>
      <c r="IA22" s="90">
        <f t="shared" si="122"/>
        <v>3.29</v>
      </c>
      <c r="IB22" s="90">
        <f t="shared" si="123"/>
        <v>3.45</v>
      </c>
      <c r="IC22" s="90">
        <f t="shared" si="124"/>
        <v>2018.7329999999999</v>
      </c>
      <c r="ID22" s="90">
        <f t="shared" si="125"/>
        <v>3.64</v>
      </c>
      <c r="IE22" s="90">
        <f t="shared" si="126"/>
        <v>2129.91</v>
      </c>
      <c r="IF22" s="90">
        <f t="shared" si="127"/>
        <v>3.64</v>
      </c>
      <c r="IG22" s="92">
        <f t="shared" si="128"/>
        <v>25558.92</v>
      </c>
      <c r="IH22" s="90">
        <v>3.91</v>
      </c>
      <c r="II22" s="90">
        <f t="shared" si="129"/>
        <v>4.1100000000000003</v>
      </c>
      <c r="IJ22" s="90">
        <f t="shared" si="130"/>
        <v>2404.9299999999998</v>
      </c>
      <c r="IK22" s="90">
        <f t="shared" si="131"/>
        <v>4.1100000000000003</v>
      </c>
      <c r="IL22" s="90">
        <f t="shared" si="132"/>
        <v>2404.9299999999998</v>
      </c>
      <c r="IM22" s="90">
        <f t="shared" si="133"/>
        <v>4.1100000000000003</v>
      </c>
      <c r="IN22" s="90">
        <f t="shared" si="134"/>
        <v>2404.9299999999998</v>
      </c>
      <c r="IO22" s="90">
        <f t="shared" si="135"/>
        <v>4.1100000000000003</v>
      </c>
      <c r="IP22" s="93">
        <v>0.37052404126999999</v>
      </c>
      <c r="IQ22" s="90">
        <f t="shared" si="136"/>
        <v>173.44675000698226</v>
      </c>
      <c r="IR22" s="90">
        <f t="shared" si="137"/>
        <v>183.85355500740121</v>
      </c>
      <c r="IS22" s="90">
        <v>108693.96</v>
      </c>
      <c r="IT22" s="90">
        <v>3053.33</v>
      </c>
      <c r="IU22" s="94"/>
      <c r="IV22" s="94"/>
      <c r="IW22" s="94">
        <v>1.6976249999999999</v>
      </c>
      <c r="IX22" s="90">
        <f t="shared" si="138"/>
        <v>794.67863399999999</v>
      </c>
      <c r="IY22" s="93">
        <v>0.56339614052999998</v>
      </c>
      <c r="IZ22" s="90">
        <f t="shared" si="139"/>
        <v>329.66561766972416</v>
      </c>
      <c r="JA22" s="90">
        <f t="shared" si="140"/>
        <v>345.49</v>
      </c>
      <c r="JB22" s="90">
        <f>I22*0.619661154</f>
        <v>362.58852765156001</v>
      </c>
      <c r="JC22" s="90">
        <f t="shared" si="141"/>
        <v>364.49</v>
      </c>
      <c r="JD22" s="90">
        <f t="shared" si="142"/>
        <v>385.49113488094451</v>
      </c>
      <c r="JE22" s="90">
        <f t="shared" si="143"/>
        <v>385.49113488094451</v>
      </c>
      <c r="JF22" s="93">
        <v>4.2278943710000003E-2</v>
      </c>
      <c r="JG22" s="90">
        <f t="shared" si="144"/>
        <v>19.791280897975522</v>
      </c>
      <c r="JH22" s="90">
        <f t="shared" si="145"/>
        <v>20.978757751854054</v>
      </c>
      <c r="JI22" s="20">
        <v>462.98</v>
      </c>
      <c r="JJ22" s="20"/>
      <c r="JK22" s="20">
        <v>6.0624999999999998E-2</v>
      </c>
      <c r="JL22" s="90">
        <f t="shared" si="146"/>
        <v>28.379290000000001</v>
      </c>
      <c r="JM22" s="93">
        <v>6.7347080040000007E-2</v>
      </c>
      <c r="JN22" s="90">
        <f t="shared" si="147"/>
        <v>39.407470414605605</v>
      </c>
      <c r="JO22" s="90">
        <f t="shared" si="148"/>
        <v>41.3</v>
      </c>
      <c r="JP22" s="90">
        <f>I22*0.074075675</f>
        <v>43.344640469499993</v>
      </c>
      <c r="JQ22" s="90">
        <f t="shared" si="149"/>
        <v>43.57</v>
      </c>
      <c r="JR22" s="90">
        <f t="shared" si="150"/>
        <v>46.082469166401872</v>
      </c>
      <c r="JS22" s="90">
        <f t="shared" si="151"/>
        <v>46.082469166401872</v>
      </c>
      <c r="JT22" s="93">
        <v>7.3220517000000002E-3</v>
      </c>
      <c r="JU22" s="90">
        <f t="shared" si="152"/>
        <v>3.4275402653904004</v>
      </c>
      <c r="JV22" s="90">
        <f t="shared" si="153"/>
        <v>3.59</v>
      </c>
      <c r="JW22" s="90">
        <f>I22*0.006445266</f>
        <v>3.7713829472399998</v>
      </c>
      <c r="JX22" s="90">
        <f t="shared" si="154"/>
        <v>3.79</v>
      </c>
      <c r="JY22" s="90">
        <f t="shared" si="155"/>
        <v>4.0095992606784669</v>
      </c>
      <c r="JZ22" s="90">
        <f t="shared" si="156"/>
        <v>4.0095992606784669</v>
      </c>
      <c r="KA22" s="90">
        <v>8.3090999999999998E-3</v>
      </c>
      <c r="KB22" s="90">
        <f t="shared" si="157"/>
        <v>3.8895894192</v>
      </c>
      <c r="KC22" s="90" t="e">
        <f>KB22*#REF!</f>
        <v>#REF!</v>
      </c>
      <c r="KD22" s="90">
        <v>34406.519999999997</v>
      </c>
      <c r="KE22" s="90">
        <v>40292.97</v>
      </c>
      <c r="KF22" s="90"/>
      <c r="KG22" s="90">
        <f t="shared" si="522"/>
        <v>685.24885590870565</v>
      </c>
      <c r="KH22" s="90" t="e">
        <f>KG22/(BW22+#REF!)*(CB22+#REF!)</f>
        <v>#REF!</v>
      </c>
      <c r="KI22" s="90">
        <v>0.8</v>
      </c>
      <c r="KJ22" s="94"/>
      <c r="KK22" s="90">
        <f t="shared" si="159"/>
        <v>0</v>
      </c>
      <c r="KL22" s="93">
        <v>1.2690177</v>
      </c>
      <c r="KM22" s="90">
        <f t="shared" si="160"/>
        <v>742.55301697799996</v>
      </c>
      <c r="KN22" s="90">
        <f t="shared" si="161"/>
        <v>787.10619799667995</v>
      </c>
      <c r="KO22" s="90" t="e">
        <f>BW22+CN22+DC22+DS22+EG22+EV22+FK22+GB22+#REF!+#REF!+HJ22+HX22+IQ22+JG22+JU22+KK22+KM22</f>
        <v>#REF!</v>
      </c>
      <c r="KP22" s="90"/>
      <c r="KQ22" s="90">
        <v>0.50815001599999998</v>
      </c>
      <c r="KR22" s="90">
        <f t="shared" si="514"/>
        <v>297.33890036224</v>
      </c>
      <c r="KS22" s="90">
        <v>0.71072749999999996</v>
      </c>
      <c r="KT22" s="90">
        <f t="shared" si="163"/>
        <v>211.32693330720392</v>
      </c>
      <c r="KU22" s="90">
        <f t="shared" si="164"/>
        <v>319.5477810542331</v>
      </c>
      <c r="KV22" s="90">
        <f t="shared" si="165"/>
        <v>334.89</v>
      </c>
      <c r="KW22" s="90">
        <f>I22*0.600648517</f>
        <v>351.46347323738001</v>
      </c>
      <c r="KX22" s="90">
        <f t="shared" si="166"/>
        <v>353.31</v>
      </c>
      <c r="KY22" s="90">
        <f t="shared" si="167"/>
        <v>373.66337552101305</v>
      </c>
      <c r="KZ22" s="90">
        <f t="shared" si="168"/>
        <v>373.66337552101305</v>
      </c>
      <c r="LA22" s="90">
        <f t="shared" si="169"/>
        <v>2293.7443956512207</v>
      </c>
      <c r="LB22" s="90">
        <f t="shared" si="170"/>
        <v>3.92</v>
      </c>
      <c r="LC22" s="92">
        <f t="shared" si="171"/>
        <v>27524.932747814648</v>
      </c>
      <c r="LD22" s="92">
        <v>4.21</v>
      </c>
      <c r="LE22" s="92">
        <v>2463.4399999999996</v>
      </c>
      <c r="LF22" s="90">
        <f t="shared" si="172"/>
        <v>4.18</v>
      </c>
      <c r="LG22" s="90">
        <f t="shared" si="173"/>
        <v>2445.89</v>
      </c>
      <c r="LH22" s="90">
        <f t="shared" si="174"/>
        <v>2465.7752253250619</v>
      </c>
      <c r="LI22" s="90">
        <f t="shared" si="175"/>
        <v>4.21</v>
      </c>
      <c r="LJ22" s="90">
        <f t="shared" si="176"/>
        <v>2445.89</v>
      </c>
      <c r="LK22" s="90">
        <f t="shared" si="177"/>
        <v>4.18</v>
      </c>
      <c r="LL22" s="90">
        <f t="shared" si="178"/>
        <v>2445.89</v>
      </c>
      <c r="LM22" s="90">
        <f t="shared" si="179"/>
        <v>4.18</v>
      </c>
      <c r="LN22" s="95">
        <v>0.46</v>
      </c>
      <c r="LO22" s="95">
        <f t="shared" si="180"/>
        <v>269.16000000000003</v>
      </c>
      <c r="LP22" s="95"/>
      <c r="LQ22" s="95">
        <f t="shared" si="181"/>
        <v>0</v>
      </c>
      <c r="LR22" s="90"/>
      <c r="LS22" s="90"/>
      <c r="LT22" s="90">
        <f t="shared" si="182"/>
        <v>0</v>
      </c>
      <c r="LU22" s="90"/>
      <c r="LV22" s="90">
        <f t="shared" si="183"/>
        <v>0</v>
      </c>
      <c r="LW22" s="90">
        <f t="shared" si="184"/>
        <v>0</v>
      </c>
      <c r="LX22" s="90"/>
      <c r="LY22" s="90"/>
      <c r="LZ22" s="90">
        <f t="shared" si="185"/>
        <v>0</v>
      </c>
      <c r="MA22" s="90"/>
      <c r="MB22" s="90">
        <f t="shared" si="186"/>
        <v>0</v>
      </c>
      <c r="MC22" s="90">
        <f t="shared" si="187"/>
        <v>0</v>
      </c>
      <c r="MD22" s="90"/>
      <c r="ME22" s="90"/>
      <c r="MF22" s="90">
        <f t="shared" si="188"/>
        <v>0</v>
      </c>
      <c r="MG22" s="90"/>
      <c r="MH22" s="90">
        <f t="shared" si="189"/>
        <v>0</v>
      </c>
      <c r="MI22" s="90">
        <f t="shared" si="190"/>
        <v>0</v>
      </c>
      <c r="MJ22" s="90"/>
      <c r="MK22" s="90"/>
      <c r="ML22" s="90">
        <f t="shared" si="191"/>
        <v>0</v>
      </c>
      <c r="MM22" s="90"/>
      <c r="MN22" s="90">
        <f t="shared" si="192"/>
        <v>0</v>
      </c>
      <c r="MO22" s="90">
        <f t="shared" si="193"/>
        <v>0</v>
      </c>
      <c r="MP22" s="90">
        <f t="shared" si="194"/>
        <v>0</v>
      </c>
      <c r="MQ22" s="90">
        <f t="shared" si="195"/>
        <v>0</v>
      </c>
      <c r="MR22" s="90">
        <f t="shared" si="196"/>
        <v>0</v>
      </c>
      <c r="MS22" s="90">
        <f t="shared" si="197"/>
        <v>0</v>
      </c>
      <c r="MT22" s="95"/>
      <c r="MU22" s="95">
        <f t="shared" si="198"/>
        <v>0</v>
      </c>
      <c r="MV22" s="92">
        <f t="shared" si="199"/>
        <v>0</v>
      </c>
      <c r="MW22" s="95"/>
      <c r="MX22" s="95">
        <f t="shared" si="200"/>
        <v>0</v>
      </c>
      <c r="MY22" s="95"/>
      <c r="MZ22" s="95">
        <f t="shared" si="201"/>
        <v>0</v>
      </c>
      <c r="NA22" s="95"/>
      <c r="NB22" s="95">
        <f t="shared" si="202"/>
        <v>0</v>
      </c>
      <c r="NC22" s="92">
        <f t="shared" si="203"/>
        <v>0</v>
      </c>
      <c r="ND22" s="95"/>
      <c r="NE22" s="95">
        <f t="shared" si="204"/>
        <v>0</v>
      </c>
      <c r="NF22" s="95"/>
      <c r="NG22" s="95">
        <f t="shared" si="205"/>
        <v>0</v>
      </c>
      <c r="NH22" s="95"/>
      <c r="NI22" s="95"/>
      <c r="NJ22" s="95">
        <f t="shared" si="206"/>
        <v>0</v>
      </c>
      <c r="NK22" s="92">
        <f t="shared" si="207"/>
        <v>0</v>
      </c>
      <c r="NL22" s="95"/>
      <c r="NM22" s="95">
        <f t="shared" si="208"/>
        <v>0</v>
      </c>
      <c r="NN22" s="95"/>
      <c r="NO22" s="95">
        <f t="shared" si="209"/>
        <v>0</v>
      </c>
      <c r="NP22" s="95"/>
      <c r="NQ22" s="95">
        <f t="shared" si="210"/>
        <v>0</v>
      </c>
      <c r="NR22" s="92">
        <f t="shared" si="211"/>
        <v>0</v>
      </c>
      <c r="NS22" s="95"/>
      <c r="NT22" s="95">
        <f t="shared" si="212"/>
        <v>0</v>
      </c>
      <c r="NU22" s="95"/>
      <c r="NV22" s="95">
        <f t="shared" si="213"/>
        <v>0</v>
      </c>
      <c r="NW22" s="95"/>
      <c r="NX22" s="95">
        <f t="shared" si="214"/>
        <v>0</v>
      </c>
      <c r="NY22" s="92">
        <f t="shared" si="215"/>
        <v>0</v>
      </c>
      <c r="NZ22" s="95"/>
      <c r="OA22" s="95">
        <f t="shared" si="216"/>
        <v>0</v>
      </c>
      <c r="OB22" s="95"/>
      <c r="OC22" s="95">
        <f t="shared" si="217"/>
        <v>0</v>
      </c>
      <c r="OD22" s="90">
        <v>3481.58</v>
      </c>
      <c r="OE22" s="90">
        <f t="shared" si="218"/>
        <v>5.95</v>
      </c>
      <c r="OF22" s="92">
        <f t="shared" si="219"/>
        <v>41778.959999999999</v>
      </c>
      <c r="OG22" s="96">
        <v>964.16</v>
      </c>
      <c r="OH22" s="96">
        <v>1.65</v>
      </c>
      <c r="OI22" s="90">
        <v>4454.42</v>
      </c>
      <c r="OJ22" s="90">
        <f t="shared" si="220"/>
        <v>7.61</v>
      </c>
      <c r="OK22" s="90">
        <f t="shared" si="221"/>
        <v>4445.74</v>
      </c>
      <c r="OL22" s="90">
        <f t="shared" si="222"/>
        <v>7.6</v>
      </c>
      <c r="OM22" s="90">
        <f t="shared" si="223"/>
        <v>1.0000000000000675E-2</v>
      </c>
      <c r="ON22" s="90">
        <v>3489.88</v>
      </c>
      <c r="OO22" s="90">
        <f t="shared" si="224"/>
        <v>5.96</v>
      </c>
      <c r="OP22" s="90">
        <v>3490.26</v>
      </c>
      <c r="OQ22" s="90">
        <v>5.97</v>
      </c>
      <c r="OR22" s="90">
        <f t="shared" si="225"/>
        <v>-9.9999999999997868E-3</v>
      </c>
      <c r="OS22" s="90">
        <f t="shared" si="226"/>
        <v>5.9600000000000009</v>
      </c>
      <c r="OT22" s="90">
        <v>3489.88</v>
      </c>
      <c r="OU22" s="90">
        <f t="shared" si="227"/>
        <v>5.96</v>
      </c>
      <c r="OV22" s="97">
        <v>2908.15</v>
      </c>
      <c r="OW22" s="90">
        <f t="shared" si="228"/>
        <v>2960.81</v>
      </c>
      <c r="OX22" s="90">
        <f t="shared" si="229"/>
        <v>5.0599999999999996</v>
      </c>
      <c r="OY22" s="90">
        <f>OU22-1+0.01+0.09</f>
        <v>5.0599999999999996</v>
      </c>
      <c r="OZ22" s="90"/>
      <c r="PA22" s="90"/>
      <c r="PB22" s="95">
        <f t="shared" si="230"/>
        <v>0</v>
      </c>
      <c r="PC22" s="92">
        <f t="shared" si="231"/>
        <v>0</v>
      </c>
      <c r="PD22" s="90"/>
      <c r="PE22" s="95">
        <f t="shared" si="232"/>
        <v>0</v>
      </c>
      <c r="PF22" s="90">
        <f t="shared" si="233"/>
        <v>9326.1443956512194</v>
      </c>
      <c r="PG22" s="90">
        <f t="shared" si="234"/>
        <v>15.94</v>
      </c>
      <c r="PH22" s="90">
        <f t="shared" si="235"/>
        <v>10780.153333333332</v>
      </c>
      <c r="PI22" s="90">
        <f t="shared" si="236"/>
        <v>18.420000000000002</v>
      </c>
      <c r="PJ22" s="90">
        <f t="shared" si="237"/>
        <v>10780.153333333332</v>
      </c>
      <c r="PK22" s="90">
        <f t="shared" si="238"/>
        <v>18.420000000000002</v>
      </c>
      <c r="PL22" s="90"/>
      <c r="PM22" s="90">
        <f t="shared" si="239"/>
        <v>279.77999999999997</v>
      </c>
      <c r="PN22" s="90">
        <f t="shared" si="240"/>
        <v>0.48</v>
      </c>
      <c r="PO22" s="92">
        <f t="shared" si="241"/>
        <v>3357.3599999999997</v>
      </c>
      <c r="PP22" s="90">
        <f t="shared" si="242"/>
        <v>323.39999999999998</v>
      </c>
      <c r="PQ22" s="90">
        <f t="shared" si="243"/>
        <v>0.55000000000000004</v>
      </c>
      <c r="PR22" s="90">
        <f t="shared" si="244"/>
        <v>323.39999999999998</v>
      </c>
      <c r="PS22" s="90">
        <f t="shared" si="245"/>
        <v>0.55000000000000004</v>
      </c>
      <c r="PT22" s="90">
        <f t="shared" si="246"/>
        <v>9605.92439565122</v>
      </c>
      <c r="PU22" s="90">
        <f t="shared" si="247"/>
        <v>16.420000000000002</v>
      </c>
      <c r="PV22" s="90">
        <f t="shared" si="248"/>
        <v>11103.553333333331</v>
      </c>
      <c r="PW22" s="90">
        <f t="shared" si="249"/>
        <v>18.98</v>
      </c>
      <c r="PX22" s="90">
        <f t="shared" si="250"/>
        <v>11103.553333333331</v>
      </c>
      <c r="PY22" s="90">
        <f t="shared" si="251"/>
        <v>18.98</v>
      </c>
      <c r="PZ22" s="90">
        <f t="shared" si="252"/>
        <v>97.03</v>
      </c>
      <c r="QA22" s="90">
        <f t="shared" si="253"/>
        <v>0.17</v>
      </c>
      <c r="QB22" s="92">
        <f t="shared" si="254"/>
        <v>1164.3600000000001</v>
      </c>
      <c r="QC22" s="90">
        <f t="shared" si="255"/>
        <v>112.16</v>
      </c>
      <c r="QD22" s="90">
        <f t="shared" si="256"/>
        <v>0.19</v>
      </c>
      <c r="QE22" s="90">
        <f t="shared" si="257"/>
        <v>112.16</v>
      </c>
      <c r="QF22" s="90">
        <f t="shared" si="258"/>
        <v>0.19</v>
      </c>
      <c r="QG22" s="90">
        <f t="shared" si="259"/>
        <v>9702.9543956512207</v>
      </c>
      <c r="QH22" s="90">
        <f t="shared" si="260"/>
        <v>16.579999999999998</v>
      </c>
      <c r="QI22" s="92">
        <f t="shared" si="261"/>
        <v>116435.45274781465</v>
      </c>
      <c r="QJ22" s="90">
        <f t="shared" si="262"/>
        <v>368.04347323738</v>
      </c>
      <c r="QK22" s="98">
        <f t="shared" si="263"/>
        <v>0.25169999999999998</v>
      </c>
      <c r="QL22" s="90">
        <f t="shared" si="264"/>
        <v>147.27973799999998</v>
      </c>
      <c r="QM22" s="90">
        <f t="shared" si="265"/>
        <v>0.1128</v>
      </c>
      <c r="QN22" s="90">
        <f t="shared" si="266"/>
        <v>66.00379199999999</v>
      </c>
      <c r="QO22" s="90">
        <v>0.21869999999999998</v>
      </c>
      <c r="QP22" s="90">
        <v>0.14579999999999999</v>
      </c>
      <c r="QQ22" s="97">
        <f t="shared" si="267"/>
        <v>213.28352999999998</v>
      </c>
      <c r="QR22" s="97">
        <v>211.45373999999993</v>
      </c>
      <c r="QS22" s="97">
        <f t="shared" si="268"/>
        <v>1.8297900000000595</v>
      </c>
      <c r="QT22" s="90"/>
      <c r="QU22" s="90">
        <f t="shared" si="269"/>
        <v>0.1128</v>
      </c>
      <c r="QV22" s="90">
        <f t="shared" si="270"/>
        <v>66.00379199999999</v>
      </c>
      <c r="QW22" s="90">
        <f t="shared" si="271"/>
        <v>213.28352999999998</v>
      </c>
      <c r="QX22" s="90">
        <f t="shared" si="272"/>
        <v>0.36449999999999999</v>
      </c>
      <c r="QY22" s="90"/>
      <c r="QZ22" s="90"/>
      <c r="RA22" s="90"/>
      <c r="RB22" s="90">
        <v>2170.44</v>
      </c>
      <c r="RC22" s="97">
        <f t="shared" si="273"/>
        <v>9702.9543956512207</v>
      </c>
      <c r="RD22" s="97">
        <f t="shared" si="274"/>
        <v>16.579999999999998</v>
      </c>
      <c r="RE22" s="90">
        <f t="shared" si="275"/>
        <v>11215.713333333331</v>
      </c>
      <c r="RF22" s="90">
        <f t="shared" si="276"/>
        <v>19.170000000000002</v>
      </c>
      <c r="RG22" s="90">
        <f t="shared" si="277"/>
        <v>115.55153707052442</v>
      </c>
      <c r="RH22" s="90">
        <f t="shared" si="278"/>
        <v>11215.713333333331</v>
      </c>
      <c r="RI22" s="90">
        <f t="shared" si="279"/>
        <v>19.170000000000002</v>
      </c>
      <c r="RJ22" s="90">
        <v>18.75</v>
      </c>
      <c r="RK22" s="90">
        <v>0</v>
      </c>
      <c r="RL22" s="90">
        <f t="shared" si="280"/>
        <v>0.42000000000000171</v>
      </c>
      <c r="RM22" s="90">
        <f t="shared" si="281"/>
        <v>105.10148107515083</v>
      </c>
      <c r="RN22" s="90">
        <f t="shared" si="282"/>
        <v>7402.9543956512198</v>
      </c>
      <c r="RO22" s="90"/>
      <c r="RP22" s="90"/>
      <c r="RQ22" s="99">
        <v>675</v>
      </c>
      <c r="RR22" s="90">
        <f t="shared" si="283"/>
        <v>6221.3743956512199</v>
      </c>
      <c r="RS22" s="90">
        <f t="shared" si="284"/>
        <v>10.632283548640018</v>
      </c>
      <c r="RT22" s="90">
        <v>11.28</v>
      </c>
      <c r="RU22" s="90">
        <f t="shared" si="285"/>
        <v>6600.3791999999994</v>
      </c>
      <c r="RV22" s="90">
        <f t="shared" si="286"/>
        <v>0.62898361629247701</v>
      </c>
      <c r="RW22" s="90">
        <v>10.43</v>
      </c>
      <c r="RX22" s="90">
        <f t="shared" si="287"/>
        <v>10.951499999999999</v>
      </c>
      <c r="RY22" s="90">
        <f t="shared" si="288"/>
        <v>6408.1607099999992</v>
      </c>
      <c r="RZ22" s="90">
        <f t="shared" si="289"/>
        <v>1690.6082742087494</v>
      </c>
      <c r="SA22" s="90">
        <f t="shared" si="290"/>
        <v>756.37324585902923</v>
      </c>
      <c r="SB22" s="90">
        <f t="shared" si="291"/>
        <v>1143.71314900826</v>
      </c>
      <c r="SC22" s="90">
        <f t="shared" si="292"/>
        <v>2077.9481773579801</v>
      </c>
      <c r="SD22" s="90">
        <f t="shared" si="293"/>
        <v>2077.9481773579801</v>
      </c>
      <c r="SE22" s="90">
        <f t="shared" si="294"/>
        <v>2109.2446223632387</v>
      </c>
      <c r="SF22" s="90">
        <f t="shared" si="295"/>
        <v>2077.8291954120145</v>
      </c>
      <c r="SG22" s="90">
        <f t="shared" si="296"/>
        <v>0.11898194596551548</v>
      </c>
      <c r="SH22" s="90">
        <f t="shared" si="297"/>
        <v>2077.9481777796145</v>
      </c>
      <c r="SI22" s="90">
        <f t="shared" si="298"/>
        <v>3.5511983070000004</v>
      </c>
      <c r="SJ22" s="90">
        <f t="shared" si="299"/>
        <v>3.5509949677205705</v>
      </c>
      <c r="SK22" s="90"/>
      <c r="SL22" s="90"/>
      <c r="SM22" s="90"/>
      <c r="SN22" s="90">
        <f t="shared" si="300"/>
        <v>2224.66</v>
      </c>
      <c r="SO22" s="90" t="e">
        <f>RU22-#REF!-#REF!-HZ22-LT22-LZ22-MF22-ML22-QL22-QN22-SD22</f>
        <v>#REF!</v>
      </c>
      <c r="SP22" s="90">
        <f t="shared" si="301"/>
        <v>2177.69</v>
      </c>
      <c r="SQ22" s="90">
        <f t="shared" si="302"/>
        <v>2293.7443956512207</v>
      </c>
      <c r="SR22" s="90">
        <f t="shared" si="303"/>
        <v>3.7216563557439248</v>
      </c>
      <c r="SS22" s="90">
        <f t="shared" si="304"/>
        <v>3.9199924730000011</v>
      </c>
      <c r="ST22" s="90">
        <f t="shared" si="305"/>
        <v>2302.4798000000001</v>
      </c>
      <c r="SU22" s="90">
        <v>3.7216687528935686</v>
      </c>
      <c r="SV22" s="90">
        <f t="shared" si="306"/>
        <v>3.93</v>
      </c>
      <c r="SW22" s="90">
        <v>3.92</v>
      </c>
      <c r="SX22" s="90">
        <f t="shared" si="307"/>
        <v>2293.75</v>
      </c>
      <c r="SY22" s="90">
        <v>3.7216437978349313</v>
      </c>
      <c r="SZ22" s="90">
        <f t="shared" si="308"/>
        <v>2177.6826518651314</v>
      </c>
      <c r="TA22" s="90">
        <f t="shared" si="309"/>
        <v>-7.3481348686073034E-3</v>
      </c>
      <c r="TB22" s="90">
        <v>0</v>
      </c>
      <c r="TC22" s="90">
        <f t="shared" si="310"/>
        <v>1038.5626699999993</v>
      </c>
      <c r="TD22" s="90" t="e">
        <f>#REF!+#REF!</f>
        <v>#REF!</v>
      </c>
      <c r="TE22" s="90" t="e">
        <f t="shared" si="311"/>
        <v>#REF!</v>
      </c>
      <c r="TF22" s="90">
        <v>797.1782783333324</v>
      </c>
      <c r="TG22" s="90">
        <f t="shared" si="312"/>
        <v>15.734893989121101</v>
      </c>
      <c r="TH22" s="95"/>
      <c r="TI22" s="95"/>
      <c r="TJ22" s="95"/>
      <c r="TK22" s="95"/>
      <c r="TL22" s="95"/>
      <c r="TM22" s="95">
        <f t="shared" si="313"/>
        <v>0</v>
      </c>
      <c r="TN22" s="95">
        <f t="shared" si="314"/>
        <v>6600.3791999999994</v>
      </c>
      <c r="TO22" s="95">
        <f t="shared" si="315"/>
        <v>15.734893989121101</v>
      </c>
      <c r="TP22" s="95"/>
      <c r="TQ22" s="95">
        <f t="shared" si="316"/>
        <v>11.28</v>
      </c>
      <c r="TR22" s="95"/>
      <c r="TS22" s="95"/>
      <c r="TT22" s="95"/>
      <c r="TU22" s="95"/>
      <c r="TV22" s="95"/>
      <c r="TW22" s="95"/>
      <c r="TX22" s="95"/>
      <c r="TY22" s="95"/>
      <c r="TZ22" s="95">
        <f t="shared" si="317"/>
        <v>3.2313829787234045</v>
      </c>
      <c r="UA22" s="95">
        <f t="shared" si="318"/>
        <v>0.49632000000000004</v>
      </c>
      <c r="UB22" s="90">
        <v>0</v>
      </c>
      <c r="UC22" s="90">
        <f t="shared" si="319"/>
        <v>0</v>
      </c>
      <c r="UD22" s="90">
        <f t="shared" si="320"/>
        <v>0</v>
      </c>
      <c r="UE22" s="90">
        <f t="shared" si="321"/>
        <v>0</v>
      </c>
      <c r="UF22" s="90">
        <f t="shared" si="322"/>
        <v>6600.3791999999994</v>
      </c>
      <c r="UG22" s="91">
        <f t="shared" si="323"/>
        <v>0</v>
      </c>
      <c r="UH22" s="95">
        <f t="shared" si="324"/>
        <v>15.734893989121101</v>
      </c>
      <c r="UI22" s="95">
        <f t="shared" si="325"/>
        <v>6600.3791999999994</v>
      </c>
      <c r="UJ22" s="101">
        <f t="shared" si="326"/>
        <v>0</v>
      </c>
      <c r="UK22" s="101">
        <f t="shared" si="327"/>
        <v>15.734893989121101</v>
      </c>
      <c r="UL22" s="90" t="e">
        <f>(#REF!+#REF!+HZ22+LT22+LZ22+MF22+ML22+QL22+QN22+SN22+TC22+TM22+UC22)/I22</f>
        <v>#REF!</v>
      </c>
      <c r="UN22" s="90" t="e">
        <f>#REF!/I22</f>
        <v>#REF!</v>
      </c>
      <c r="UO22" s="90" t="e">
        <f>#REF!/I22</f>
        <v>#REF!</v>
      </c>
      <c r="UP22" s="90">
        <v>1.1499999999999999</v>
      </c>
      <c r="UQ22" s="90" t="e">
        <f t="shared" si="328"/>
        <v>#REF!</v>
      </c>
      <c r="UR22" s="90">
        <f t="shared" si="329"/>
        <v>6221.3743956512199</v>
      </c>
      <c r="US22" s="90">
        <f t="shared" si="330"/>
        <v>7774.8433333333323</v>
      </c>
      <c r="UT22" s="90">
        <f t="shared" si="331"/>
        <v>7774.8433333333323</v>
      </c>
      <c r="UU22" s="90">
        <f t="shared" si="516"/>
        <v>8044.0033333333322</v>
      </c>
      <c r="UV22" s="90">
        <f t="shared" si="333"/>
        <v>7985.743333333332</v>
      </c>
      <c r="UW22" s="90">
        <f t="shared" si="334"/>
        <v>6.35</v>
      </c>
      <c r="UX22" s="90">
        <f t="shared" si="335"/>
        <v>3.92</v>
      </c>
      <c r="UY22" s="90">
        <f t="shared" si="336"/>
        <v>3.8019277437878114</v>
      </c>
      <c r="UZ22" s="100">
        <f t="shared" si="337"/>
        <v>3.5511983070000004</v>
      </c>
      <c r="VA22" s="90">
        <f t="shared" si="338"/>
        <v>0.78</v>
      </c>
      <c r="VB22" s="90">
        <f t="shared" si="339"/>
        <v>1.65</v>
      </c>
      <c r="VC22" s="90">
        <f t="shared" si="340"/>
        <v>0</v>
      </c>
      <c r="VD22" s="90">
        <f t="shared" si="341"/>
        <v>0</v>
      </c>
      <c r="VE22" s="90">
        <f t="shared" si="342"/>
        <v>0</v>
      </c>
      <c r="VF22" s="90">
        <f t="shared" si="343"/>
        <v>0</v>
      </c>
      <c r="VG22" s="90">
        <f t="shared" si="344"/>
        <v>0</v>
      </c>
      <c r="VH22" s="90">
        <f t="shared" si="345"/>
        <v>0</v>
      </c>
      <c r="VI22" s="90">
        <f t="shared" si="346"/>
        <v>0</v>
      </c>
      <c r="VJ22" s="90">
        <f t="shared" si="347"/>
        <v>0</v>
      </c>
      <c r="VK22" s="90">
        <f t="shared" si="348"/>
        <v>3.12</v>
      </c>
      <c r="VL22" s="90">
        <f t="shared" si="349"/>
        <v>3.64</v>
      </c>
      <c r="VM22" s="90">
        <f t="shared" si="350"/>
        <v>5.95</v>
      </c>
      <c r="VN22" s="90">
        <f t="shared" si="351"/>
        <v>0</v>
      </c>
      <c r="VO22" s="90">
        <f t="shared" si="352"/>
        <v>5.95</v>
      </c>
      <c r="VP22" s="97">
        <v>0</v>
      </c>
      <c r="VQ22" s="97">
        <v>5.95</v>
      </c>
      <c r="VR22" s="90">
        <f t="shared" si="353"/>
        <v>0.48</v>
      </c>
      <c r="VS22" s="90">
        <f t="shared" si="354"/>
        <v>0.17</v>
      </c>
      <c r="VT22" s="90">
        <v>0.11989898989898991</v>
      </c>
      <c r="VU22" s="90">
        <f t="shared" si="355"/>
        <v>0.16589999999999999</v>
      </c>
      <c r="VV22" s="90">
        <v>0.38175323599898991</v>
      </c>
      <c r="VW22" s="90">
        <f t="shared" si="356"/>
        <v>0.65</v>
      </c>
      <c r="VX22" s="90">
        <f t="shared" si="357"/>
        <v>16.59</v>
      </c>
      <c r="VY22" s="90">
        <f t="shared" si="358"/>
        <v>16.59</v>
      </c>
      <c r="VZ22" s="90">
        <f t="shared" si="359"/>
        <v>0</v>
      </c>
      <c r="WA22" s="90"/>
      <c r="WB22" s="90">
        <f t="shared" si="360"/>
        <v>16.59</v>
      </c>
      <c r="WC22" s="90">
        <f t="shared" si="361"/>
        <v>0</v>
      </c>
      <c r="WD22" s="90"/>
      <c r="WE22" s="90">
        <v>16.59</v>
      </c>
      <c r="WF22" s="90"/>
      <c r="WG22" s="90">
        <f t="shared" si="362"/>
        <v>9707.4725999999991</v>
      </c>
      <c r="WH22" s="90">
        <f t="shared" si="363"/>
        <v>9707.4725999999991</v>
      </c>
      <c r="WI22" s="90">
        <f t="shared" si="364"/>
        <v>9702.9543956512207</v>
      </c>
      <c r="WJ22" s="90">
        <f t="shared" si="365"/>
        <v>6221.3743956512199</v>
      </c>
      <c r="WK22" s="97">
        <v>3478.19</v>
      </c>
      <c r="WL22" s="97">
        <v>5.95</v>
      </c>
      <c r="WM22" s="90">
        <f t="shared" si="366"/>
        <v>3481.58</v>
      </c>
      <c r="WN22" s="90">
        <f t="shared" si="367"/>
        <v>5.95</v>
      </c>
      <c r="WO22" s="90"/>
      <c r="WP22" s="97">
        <v>16.59</v>
      </c>
      <c r="WQ22" s="90">
        <f t="shared" si="368"/>
        <v>16.59</v>
      </c>
      <c r="WR22" s="91">
        <f t="shared" si="369"/>
        <v>147.07446808510639</v>
      </c>
      <c r="WS22" s="91">
        <f t="shared" si="370"/>
        <v>147.07446808510639</v>
      </c>
      <c r="WT22" s="90">
        <f t="shared" si="371"/>
        <v>9707.4699999999993</v>
      </c>
      <c r="WU22" s="90">
        <f t="shared" si="372"/>
        <v>9702.9543956512207</v>
      </c>
      <c r="WV22" s="90">
        <f t="shared" si="373"/>
        <v>4.5156043487786519</v>
      </c>
      <c r="WW22" s="90"/>
      <c r="WX22" s="90"/>
      <c r="WY22" s="90"/>
      <c r="WZ22" s="90">
        <f t="shared" si="374"/>
        <v>1.4519959595959597</v>
      </c>
      <c r="XA22" s="90">
        <v>0</v>
      </c>
      <c r="XB22" s="90">
        <f t="shared" si="375"/>
        <v>1.4519959595959597</v>
      </c>
      <c r="XC22" s="90">
        <f t="shared" si="376"/>
        <v>0.35759999999999997</v>
      </c>
      <c r="XD22" s="90">
        <f t="shared" si="377"/>
        <v>0.1204040404040404</v>
      </c>
      <c r="XE22" s="90"/>
      <c r="XF22" s="90">
        <f t="shared" si="378"/>
        <v>11.92</v>
      </c>
      <c r="XG22" s="90">
        <v>1.3669272078282078</v>
      </c>
      <c r="XH22" s="20">
        <v>11.28</v>
      </c>
      <c r="XI22" s="20">
        <v>0</v>
      </c>
      <c r="XJ22" s="20"/>
      <c r="XK22" s="20"/>
      <c r="XL22" s="20"/>
      <c r="XM22" s="20">
        <f t="shared" si="379"/>
        <v>11.28</v>
      </c>
      <c r="XN22" s="91">
        <f t="shared" si="380"/>
        <v>147.07446808510639</v>
      </c>
      <c r="XO22" s="20">
        <f t="shared" si="381"/>
        <v>11.28</v>
      </c>
      <c r="XP22" s="90">
        <f t="shared" si="382"/>
        <v>11.28</v>
      </c>
      <c r="XQ22" s="91">
        <f t="shared" si="383"/>
        <v>147.07446808510639</v>
      </c>
      <c r="XR22" s="102"/>
      <c r="XS22" s="90">
        <f t="shared" si="384"/>
        <v>3.64</v>
      </c>
      <c r="XT22" s="90">
        <f t="shared" si="385"/>
        <v>6.35</v>
      </c>
      <c r="XU22" s="90">
        <f t="shared" si="386"/>
        <v>3.92</v>
      </c>
      <c r="XV22" s="90">
        <f t="shared" si="387"/>
        <v>0.78</v>
      </c>
      <c r="XW22" s="90">
        <f t="shared" si="388"/>
        <v>0.78</v>
      </c>
      <c r="XX22" s="90">
        <f t="shared" si="389"/>
        <v>0</v>
      </c>
      <c r="XY22" s="90">
        <f t="shared" si="390"/>
        <v>1.65</v>
      </c>
      <c r="XZ22" s="90">
        <f t="shared" si="391"/>
        <v>0</v>
      </c>
      <c r="YA22" s="90">
        <f t="shared" si="392"/>
        <v>0</v>
      </c>
      <c r="YB22" s="90">
        <f t="shared" si="393"/>
        <v>0</v>
      </c>
      <c r="YC22" s="90">
        <f t="shared" si="393"/>
        <v>0</v>
      </c>
      <c r="YD22" s="90">
        <f t="shared" si="394"/>
        <v>1.65</v>
      </c>
      <c r="YE22" s="90">
        <f t="shared" si="395"/>
        <v>5.95</v>
      </c>
      <c r="YF22" s="90">
        <f t="shared" si="396"/>
        <v>0.65</v>
      </c>
      <c r="YG22" s="90">
        <f t="shared" si="397"/>
        <v>16.59</v>
      </c>
      <c r="YI22" s="103" t="s">
        <v>462</v>
      </c>
      <c r="YK22" s="90">
        <f t="shared" si="398"/>
        <v>1.07</v>
      </c>
      <c r="YL22" s="90">
        <f t="shared" si="399"/>
        <v>0.78</v>
      </c>
      <c r="YM22" s="90">
        <f t="shared" si="399"/>
        <v>1.65</v>
      </c>
      <c r="YN22" s="90">
        <f t="shared" si="400"/>
        <v>3.64</v>
      </c>
      <c r="YO22" s="90">
        <f t="shared" si="401"/>
        <v>9.4500000000000011</v>
      </c>
      <c r="YP22" s="90">
        <f t="shared" si="402"/>
        <v>0</v>
      </c>
      <c r="YQ22" s="90">
        <f t="shared" si="403"/>
        <v>16.59</v>
      </c>
      <c r="YR22" s="90">
        <f t="shared" si="404"/>
        <v>0</v>
      </c>
      <c r="YS22" s="104">
        <f t="shared" si="405"/>
        <v>16.590000000000003</v>
      </c>
      <c r="YT22" s="104">
        <f t="shared" si="406"/>
        <v>0</v>
      </c>
      <c r="YY22" s="90">
        <f t="shared" si="407"/>
        <v>8.43</v>
      </c>
      <c r="YZ22" s="90">
        <f t="shared" si="408"/>
        <v>4.18</v>
      </c>
      <c r="ZA22" s="90">
        <f t="shared" si="409"/>
        <v>0.69</v>
      </c>
      <c r="ZB22" s="90">
        <f t="shared" si="410"/>
        <v>3.56</v>
      </c>
      <c r="ZC22" s="90">
        <f t="shared" si="411"/>
        <v>0</v>
      </c>
      <c r="ZD22" s="90">
        <f t="shared" si="412"/>
        <v>0</v>
      </c>
      <c r="ZE22" s="90">
        <f t="shared" si="413"/>
        <v>0</v>
      </c>
      <c r="ZF22" s="90">
        <f t="shared" si="414"/>
        <v>0</v>
      </c>
      <c r="ZG22" s="90">
        <f t="shared" si="415"/>
        <v>0</v>
      </c>
      <c r="ZH22" s="90">
        <f t="shared" si="416"/>
        <v>0</v>
      </c>
      <c r="ZI22" s="90">
        <f t="shared" si="417"/>
        <v>0</v>
      </c>
      <c r="ZJ22" s="90">
        <f t="shared" si="418"/>
        <v>0</v>
      </c>
      <c r="ZK22" s="90">
        <f t="shared" si="419"/>
        <v>0</v>
      </c>
      <c r="ZL22" s="90">
        <f t="shared" si="420"/>
        <v>0.02</v>
      </c>
      <c r="ZM22" s="90">
        <f t="shared" si="421"/>
        <v>4.1100000000000003</v>
      </c>
      <c r="ZN22" s="90">
        <f t="shared" si="422"/>
        <v>8.6199999999999992</v>
      </c>
      <c r="ZO22" s="90">
        <f t="shared" si="423"/>
        <v>7.6</v>
      </c>
      <c r="ZP22" s="90">
        <f t="shared" si="424"/>
        <v>5.0599999999999996</v>
      </c>
      <c r="ZQ22" s="90">
        <f t="shared" si="425"/>
        <v>0</v>
      </c>
      <c r="ZR22" s="90">
        <f t="shared" si="426"/>
        <v>5.0599999999999996</v>
      </c>
      <c r="ZS22" s="97">
        <v>227</v>
      </c>
      <c r="ZT22" s="97">
        <v>230.38</v>
      </c>
      <c r="ZU22" s="90">
        <f t="shared" si="427"/>
        <v>0.55000000000000004</v>
      </c>
      <c r="ZV22" s="90">
        <f t="shared" si="428"/>
        <v>0.19</v>
      </c>
      <c r="ZW22" s="90">
        <v>0.11989898989898991</v>
      </c>
      <c r="ZX22" s="90">
        <f t="shared" si="429"/>
        <v>0.18339999999999998</v>
      </c>
      <c r="ZY22" s="90">
        <v>0.38175323599898991</v>
      </c>
      <c r="ZZ22" s="90">
        <f t="shared" si="430"/>
        <v>0.74</v>
      </c>
      <c r="AAA22" s="90">
        <f t="shared" si="431"/>
        <v>18.339999999999996</v>
      </c>
      <c r="AAB22" s="90">
        <f t="shared" si="432"/>
        <v>18.339999999999996</v>
      </c>
      <c r="AAC22" s="90">
        <f t="shared" si="433"/>
        <v>0</v>
      </c>
      <c r="AAD22" s="90"/>
      <c r="AAE22" s="90">
        <f t="shared" si="434"/>
        <v>18.339999999999996</v>
      </c>
      <c r="AAF22" s="90">
        <v>16.59</v>
      </c>
      <c r="AAG22" s="90">
        <f t="shared" si="435"/>
        <v>110.54852320675104</v>
      </c>
      <c r="AAH22" s="90">
        <f t="shared" si="436"/>
        <v>0</v>
      </c>
      <c r="AAI22" s="90">
        <v>0</v>
      </c>
      <c r="AAJ22" s="90"/>
      <c r="AAK22" s="1">
        <v>18.23</v>
      </c>
      <c r="AAL22" s="104">
        <f t="shared" si="437"/>
        <v>0.10999999999999588</v>
      </c>
      <c r="AAM22" s="103" t="s">
        <v>459</v>
      </c>
      <c r="AAN22" s="105">
        <v>8.64</v>
      </c>
      <c r="AAO22" s="90">
        <f t="shared" si="438"/>
        <v>9.25</v>
      </c>
      <c r="AAP22" s="90">
        <v>4.21</v>
      </c>
      <c r="AAQ22" s="90">
        <f t="shared" si="439"/>
        <v>4.18</v>
      </c>
      <c r="AAR22" s="90">
        <v>0.69</v>
      </c>
      <c r="AAS22" s="90">
        <f t="shared" si="440"/>
        <v>1.05</v>
      </c>
      <c r="AAT22" s="90">
        <f t="shared" si="441"/>
        <v>152.17391304347828</v>
      </c>
      <c r="AAU22" s="90">
        <v>3.74</v>
      </c>
      <c r="AAV22" s="90">
        <f t="shared" si="442"/>
        <v>3.56</v>
      </c>
      <c r="AAW22" s="90">
        <f t="shared" si="443"/>
        <v>95.187165775401056</v>
      </c>
      <c r="AAX22" s="90">
        <f t="shared" si="444"/>
        <v>0.46</v>
      </c>
      <c r="AAY22" s="90">
        <f t="shared" si="445"/>
        <v>0</v>
      </c>
      <c r="AAZ22" s="90">
        <f t="shared" si="446"/>
        <v>0</v>
      </c>
      <c r="ABA22" s="90">
        <f t="shared" si="447"/>
        <v>0</v>
      </c>
      <c r="ABB22" s="90">
        <f t="shared" si="448"/>
        <v>0</v>
      </c>
      <c r="ABC22" s="90">
        <v>0</v>
      </c>
      <c r="ABD22" s="90">
        <f t="shared" si="449"/>
        <v>0</v>
      </c>
      <c r="ABE22" s="90"/>
      <c r="ABF22" s="90">
        <v>0</v>
      </c>
      <c r="ABG22" s="90">
        <f t="shared" si="450"/>
        <v>0</v>
      </c>
      <c r="ABH22" s="90"/>
      <c r="ABI22" s="90">
        <f t="shared" si="451"/>
        <v>0</v>
      </c>
      <c r="ABJ22" s="90">
        <f t="shared" si="452"/>
        <v>0</v>
      </c>
      <c r="ABK22" s="90">
        <v>0</v>
      </c>
      <c r="ABL22" s="90">
        <f t="shared" si="453"/>
        <v>0</v>
      </c>
      <c r="ABM22" s="90">
        <f t="shared" si="454"/>
        <v>0</v>
      </c>
      <c r="ABN22" s="90">
        <f t="shared" si="455"/>
        <v>0.02</v>
      </c>
      <c r="ABO22" s="90">
        <v>3.91</v>
      </c>
      <c r="ABP22" s="90">
        <f t="shared" si="456"/>
        <v>4.1100000000000003</v>
      </c>
      <c r="ABQ22" s="90">
        <f t="shared" si="457"/>
        <v>105.1150895140665</v>
      </c>
      <c r="ABR22" s="90">
        <f t="shared" si="458"/>
        <v>8.6199999999999992</v>
      </c>
      <c r="ABS22" s="90">
        <f t="shared" si="459"/>
        <v>7.6</v>
      </c>
      <c r="ABT22" s="90">
        <v>4.97</v>
      </c>
      <c r="ABU22" s="90">
        <f t="shared" si="460"/>
        <v>5.0599999999999996</v>
      </c>
      <c r="ABV22" s="90">
        <f t="shared" si="461"/>
        <v>101.81086519114689</v>
      </c>
      <c r="ABW22" s="90">
        <f t="shared" si="462"/>
        <v>0</v>
      </c>
      <c r="ABX22" s="90">
        <f t="shared" si="463"/>
        <v>5.0599999999999996</v>
      </c>
      <c r="ABY22" s="97">
        <v>227</v>
      </c>
      <c r="ABZ22" s="97">
        <v>230.38</v>
      </c>
      <c r="ACA22" s="90">
        <f t="shared" si="464"/>
        <v>0.55000000000000004</v>
      </c>
      <c r="ACB22" s="90">
        <f t="shared" si="465"/>
        <v>0.19</v>
      </c>
      <c r="ACC22" s="90">
        <v>0.11989898989898991</v>
      </c>
      <c r="ACD22" s="90">
        <f t="shared" si="466"/>
        <v>0.18699999999999997</v>
      </c>
      <c r="ACE22" s="90">
        <v>0.38175323599898991</v>
      </c>
      <c r="ACF22" s="90">
        <v>0.71</v>
      </c>
      <c r="ACG22" s="90">
        <f t="shared" si="467"/>
        <v>0.74</v>
      </c>
      <c r="ACH22" s="90">
        <f t="shared" si="468"/>
        <v>104.22535211267605</v>
      </c>
      <c r="ACI22" s="90">
        <f t="shared" si="469"/>
        <v>19.159999999999997</v>
      </c>
      <c r="ACJ22" s="90">
        <f t="shared" si="470"/>
        <v>18.699999999999996</v>
      </c>
      <c r="ACK22" s="90">
        <f t="shared" si="471"/>
        <v>-0.46000000000000085</v>
      </c>
      <c r="ACL22" s="90"/>
      <c r="ACM22" s="90">
        <f t="shared" si="472"/>
        <v>19.159999999999997</v>
      </c>
      <c r="ACN22" s="90">
        <f t="shared" si="473"/>
        <v>0</v>
      </c>
      <c r="ACO22" s="90">
        <f t="shared" si="474"/>
        <v>19.159999999999997</v>
      </c>
      <c r="ACP22" s="90">
        <v>18.23</v>
      </c>
      <c r="ACQ22" s="90">
        <f t="shared" si="475"/>
        <v>105.10148107515083</v>
      </c>
      <c r="ACR22" s="90">
        <f t="shared" si="476"/>
        <v>0</v>
      </c>
      <c r="ACS22" s="90">
        <v>0</v>
      </c>
      <c r="ACT22" s="90"/>
      <c r="ACU22" s="90">
        <f t="shared" si="477"/>
        <v>19.15973</v>
      </c>
      <c r="ACV22" s="90">
        <f t="shared" si="478"/>
        <v>-2.6999999999688384E-4</v>
      </c>
      <c r="ACX22" s="106" t="s">
        <v>459</v>
      </c>
      <c r="ACY22" s="107"/>
      <c r="ACZ22" s="107">
        <v>200000</v>
      </c>
      <c r="ADB22" s="90">
        <f t="shared" si="479"/>
        <v>4.1100000000000003</v>
      </c>
      <c r="ADC22" s="90">
        <f t="shared" si="480"/>
        <v>9.25</v>
      </c>
      <c r="ADD22" s="90">
        <f t="shared" si="481"/>
        <v>4.18</v>
      </c>
      <c r="ADE22" s="90">
        <f t="shared" si="517"/>
        <v>1.51</v>
      </c>
      <c r="ADF22" s="90">
        <f t="shared" si="483"/>
        <v>1.05</v>
      </c>
      <c r="ADG22" s="90">
        <f t="shared" si="484"/>
        <v>0.46</v>
      </c>
      <c r="ADH22" s="90">
        <f t="shared" si="484"/>
        <v>0</v>
      </c>
      <c r="ADI22" s="90">
        <f t="shared" si="484"/>
        <v>0</v>
      </c>
      <c r="ADJ22" s="90">
        <f t="shared" si="485"/>
        <v>3.56</v>
      </c>
      <c r="ADK22" s="90">
        <f t="shared" si="486"/>
        <v>0</v>
      </c>
      <c r="ADL22" s="90">
        <f t="shared" si="487"/>
        <v>0</v>
      </c>
      <c r="ADM22" s="90">
        <f t="shared" si="488"/>
        <v>0</v>
      </c>
      <c r="ADN22" s="90">
        <f t="shared" si="488"/>
        <v>0</v>
      </c>
      <c r="ADO22" s="90">
        <f t="shared" si="489"/>
        <v>3.56</v>
      </c>
      <c r="ADP22" s="90">
        <f t="shared" si="490"/>
        <v>5.0599999999999996</v>
      </c>
      <c r="ADQ22" s="90">
        <f t="shared" si="491"/>
        <v>0.74</v>
      </c>
      <c r="ADR22" s="90">
        <f t="shared" si="492"/>
        <v>19.159999999999997</v>
      </c>
      <c r="ADU22" s="90">
        <f t="shared" si="493"/>
        <v>1.1499999999999999</v>
      </c>
      <c r="ADV22" s="90">
        <f t="shared" si="494"/>
        <v>1.05</v>
      </c>
      <c r="ADW22" s="90">
        <f t="shared" si="495"/>
        <v>3.56</v>
      </c>
      <c r="ADX22" s="90">
        <f t="shared" si="496"/>
        <v>4.1100000000000003</v>
      </c>
      <c r="ADY22" s="90">
        <f t="shared" si="497"/>
        <v>8.83</v>
      </c>
      <c r="ADZ22" s="90">
        <f t="shared" si="498"/>
        <v>0</v>
      </c>
      <c r="AEA22" s="90">
        <f t="shared" si="499"/>
        <v>19.159999999999997</v>
      </c>
      <c r="AEB22" s="90">
        <f t="shared" si="500"/>
        <v>0</v>
      </c>
      <c r="AEC22" s="104">
        <f t="shared" si="501"/>
        <v>18.700000000000003</v>
      </c>
      <c r="AED22" s="104">
        <f t="shared" si="502"/>
        <v>0.45999999999999375</v>
      </c>
      <c r="AEG22" s="1">
        <v>8.64</v>
      </c>
      <c r="AEH22" s="1">
        <v>4.21</v>
      </c>
      <c r="AEI22" s="1">
        <v>0.69</v>
      </c>
      <c r="AEJ22" s="1">
        <v>3.74</v>
      </c>
      <c r="AEK22" s="1">
        <v>0</v>
      </c>
      <c r="AEL22" s="1">
        <v>0</v>
      </c>
      <c r="AEM22" s="1">
        <v>0</v>
      </c>
      <c r="AEN22" s="1">
        <v>0</v>
      </c>
      <c r="AEO22" s="1">
        <v>0</v>
      </c>
      <c r="AEP22" s="1">
        <v>0</v>
      </c>
      <c r="AEQ22" s="1">
        <v>0</v>
      </c>
      <c r="AER22" s="1">
        <v>0</v>
      </c>
      <c r="AES22" s="1">
        <v>0</v>
      </c>
      <c r="AET22" s="1">
        <v>0</v>
      </c>
      <c r="AEU22" s="1">
        <v>0</v>
      </c>
      <c r="AEV22" s="1">
        <v>0.02</v>
      </c>
      <c r="AEW22" s="1">
        <v>3.91</v>
      </c>
      <c r="AEX22" s="1">
        <v>8.7100000000000009</v>
      </c>
      <c r="AEY22" s="1">
        <v>7.6</v>
      </c>
      <c r="AEZ22" s="1">
        <v>4.97</v>
      </c>
      <c r="AFA22" s="1">
        <v>0</v>
      </c>
      <c r="AFB22" s="1">
        <v>4.97</v>
      </c>
      <c r="AFC22" s="1">
        <v>227</v>
      </c>
      <c r="AFD22" s="1">
        <v>230.38</v>
      </c>
      <c r="AFE22" s="1">
        <v>0.53</v>
      </c>
      <c r="AFF22" s="1">
        <v>0.18</v>
      </c>
      <c r="AFG22" s="1">
        <v>0.11989898989898991</v>
      </c>
      <c r="AFH22" s="1">
        <v>0.18230000000000002</v>
      </c>
      <c r="AFI22" s="1">
        <v>0.38175323599898991</v>
      </c>
      <c r="AFJ22" s="1">
        <v>0.71</v>
      </c>
      <c r="AFK22" s="1">
        <v>18.23</v>
      </c>
      <c r="AFL22" s="1">
        <v>18.23</v>
      </c>
      <c r="AFM22" s="1">
        <v>0</v>
      </c>
      <c r="AFO22" s="1">
        <v>18.23</v>
      </c>
      <c r="AFP22" s="1">
        <v>0</v>
      </c>
      <c r="AFQ22" s="1">
        <v>18.22</v>
      </c>
      <c r="AFX22" s="1">
        <v>18.739999999999998</v>
      </c>
    </row>
    <row r="23" spans="1:856" s="1" customFormat="1" ht="63.75" customHeight="1">
      <c r="A23" s="88">
        <v>15</v>
      </c>
      <c r="B23" s="20"/>
      <c r="C23" s="89" t="s">
        <v>481</v>
      </c>
      <c r="D23" s="20"/>
      <c r="E23" s="20" t="s">
        <v>437</v>
      </c>
      <c r="F23" s="20" t="s">
        <v>438</v>
      </c>
      <c r="G23" s="20">
        <v>0.8</v>
      </c>
      <c r="H23" s="20">
        <v>165.5</v>
      </c>
      <c r="I23" s="20">
        <f>165.5+0.3</f>
        <v>165.8</v>
      </c>
      <c r="J23" s="20">
        <f t="shared" si="0"/>
        <v>132.64000000000001</v>
      </c>
      <c r="K23" s="20">
        <v>4</v>
      </c>
      <c r="L23" s="20"/>
      <c r="M23" s="20"/>
      <c r="N23" s="20"/>
      <c r="O23" s="90">
        <f t="shared" si="1"/>
        <v>0</v>
      </c>
      <c r="P23" s="20"/>
      <c r="Q23" s="20"/>
      <c r="R23" s="90">
        <f t="shared" si="2"/>
        <v>0</v>
      </c>
      <c r="S23" s="20">
        <v>86.6</v>
      </c>
      <c r="T23" s="20">
        <v>2.6</v>
      </c>
      <c r="U23" s="20">
        <v>3.13</v>
      </c>
      <c r="V23" s="91">
        <f t="shared" si="3"/>
        <v>704.75</v>
      </c>
      <c r="W23" s="20">
        <v>2.1000000000000001E-2</v>
      </c>
      <c r="X23" s="20">
        <f t="shared" si="4"/>
        <v>33.42</v>
      </c>
      <c r="Y23" s="91">
        <f t="shared" si="5"/>
        <v>60.78</v>
      </c>
      <c r="Z23" s="20"/>
      <c r="AA23" s="20"/>
      <c r="AB23" s="20"/>
      <c r="AC23" s="91">
        <f t="shared" si="6"/>
        <v>765.53</v>
      </c>
      <c r="AD23" s="90">
        <f t="shared" si="7"/>
        <v>4.62</v>
      </c>
      <c r="AE23" s="92">
        <f t="shared" si="8"/>
        <v>9186.36</v>
      </c>
      <c r="AF23" s="20">
        <v>10</v>
      </c>
      <c r="AG23" s="20">
        <v>10</v>
      </c>
      <c r="AH23" s="20">
        <v>10</v>
      </c>
      <c r="AI23" s="20">
        <v>11</v>
      </c>
      <c r="AJ23" s="20">
        <v>1.6</v>
      </c>
      <c r="AK23" s="90">
        <f t="shared" si="9"/>
        <v>1.33</v>
      </c>
      <c r="AL23" s="90">
        <v>391.01</v>
      </c>
      <c r="AM23" s="90">
        <f t="shared" si="10"/>
        <v>520.04</v>
      </c>
      <c r="AN23" s="20">
        <v>11</v>
      </c>
      <c r="AO23" s="20">
        <v>11</v>
      </c>
      <c r="AP23" s="20">
        <v>10</v>
      </c>
      <c r="AQ23" s="20">
        <v>11</v>
      </c>
      <c r="AR23" s="20">
        <v>11</v>
      </c>
      <c r="AS23" s="20">
        <v>11</v>
      </c>
      <c r="AT23" s="20">
        <f t="shared" si="11"/>
        <v>0</v>
      </c>
      <c r="AU23" s="20">
        <v>1.6</v>
      </c>
      <c r="AV23" s="90">
        <f t="shared" si="12"/>
        <v>1.33</v>
      </c>
      <c r="AW23" s="90">
        <f t="shared" ref="AW23:AW30" si="523">ROUND((187.84*6+189.92*6)/12,2)</f>
        <v>188.88</v>
      </c>
      <c r="AX23" s="90">
        <v>277.02</v>
      </c>
      <c r="AY23" s="90">
        <f t="shared" si="14"/>
        <v>1.67</v>
      </c>
      <c r="AZ23" s="90">
        <f t="shared" si="15"/>
        <v>521.35</v>
      </c>
      <c r="BA23" s="90">
        <f t="shared" si="16"/>
        <v>-244.33000000000004</v>
      </c>
      <c r="BB23" s="90">
        <v>277.02</v>
      </c>
      <c r="BC23" s="90">
        <v>1.67</v>
      </c>
      <c r="BD23" s="92">
        <f t="shared" si="17"/>
        <v>3324.24</v>
      </c>
      <c r="BE23" s="90"/>
      <c r="BF23" s="90">
        <f t="shared" si="18"/>
        <v>0</v>
      </c>
      <c r="BG23" s="90">
        <v>391.01</v>
      </c>
      <c r="BH23" s="90">
        <f t="shared" si="19"/>
        <v>520.04</v>
      </c>
      <c r="BI23" s="90">
        <f t="shared" si="20"/>
        <v>3.14</v>
      </c>
      <c r="BJ23" s="90">
        <f t="shared" si="21"/>
        <v>188.0239520958084</v>
      </c>
      <c r="BK23" s="90">
        <f t="shared" si="22"/>
        <v>520.04</v>
      </c>
      <c r="BL23" s="90">
        <f t="shared" si="23"/>
        <v>3.14</v>
      </c>
      <c r="BM23" s="90"/>
      <c r="BN23" s="90">
        <f t="shared" si="24"/>
        <v>0</v>
      </c>
      <c r="BO23" s="90">
        <f t="shared" si="25"/>
        <v>520.04</v>
      </c>
      <c r="BP23" s="90">
        <f t="shared" si="26"/>
        <v>3.1365500603136303</v>
      </c>
      <c r="BQ23" s="90"/>
      <c r="BR23" s="90">
        <f t="shared" si="27"/>
        <v>0</v>
      </c>
      <c r="BS23" s="90">
        <f t="shared" si="28"/>
        <v>520.04</v>
      </c>
      <c r="BT23" s="90">
        <f t="shared" si="29"/>
        <v>3.1365500603136303</v>
      </c>
      <c r="BU23" s="90"/>
      <c r="BV23" s="93">
        <v>1.4356370000000001</v>
      </c>
      <c r="BW23" s="90">
        <f t="shared" si="30"/>
        <v>238.02861460000003</v>
      </c>
      <c r="BX23" s="90">
        <f t="shared" si="31"/>
        <v>252.31033147600004</v>
      </c>
      <c r="BY23" s="90"/>
      <c r="BZ23" s="90"/>
      <c r="CA23" s="90">
        <v>0.2651</v>
      </c>
      <c r="CB23" s="90">
        <f t="shared" si="518"/>
        <v>43.953580000000002</v>
      </c>
      <c r="CC23" s="90">
        <v>0.71072749999999996</v>
      </c>
      <c r="CD23" s="90">
        <f t="shared" si="33"/>
        <v>31.239018029450001</v>
      </c>
      <c r="CE23" s="90">
        <f t="shared" si="34"/>
        <v>47.236567485393991</v>
      </c>
      <c r="CF23" s="90">
        <v>46.11423139315928</v>
      </c>
      <c r="CG23" s="90">
        <v>46.11423139315928</v>
      </c>
      <c r="CH23" s="90">
        <f t="shared" si="35"/>
        <v>48.33</v>
      </c>
      <c r="CI23" s="90">
        <f t="shared" ref="CI23:CI47" si="524">CH23/($SP23-$HL23)*($SX23-$HN23)</f>
        <v>50.723099280383785</v>
      </c>
      <c r="CJ23" s="90">
        <f t="shared" si="36"/>
        <v>50.99</v>
      </c>
      <c r="CK23" s="90">
        <f t="shared" si="37"/>
        <v>53.92577758528784</v>
      </c>
      <c r="CL23" s="90">
        <f t="shared" si="38"/>
        <v>53.92577758528784</v>
      </c>
      <c r="CM23" s="94">
        <v>0.14899999999999999</v>
      </c>
      <c r="CN23" s="90">
        <f t="shared" si="39"/>
        <v>35.466263575399999</v>
      </c>
      <c r="CO23" s="90">
        <f t="shared" si="40"/>
        <v>37.594239389923999</v>
      </c>
      <c r="CP23" s="90"/>
      <c r="CQ23" s="90">
        <v>3.9539251999999997E-2</v>
      </c>
      <c r="CR23" s="90">
        <f t="shared" si="519"/>
        <v>6.5556079815999997</v>
      </c>
      <c r="CS23" s="90">
        <v>0.71072749999999996</v>
      </c>
      <c r="CT23" s="90">
        <f t="shared" si="42"/>
        <v>4.6592508717426133</v>
      </c>
      <c r="CU23" s="90">
        <f t="shared" si="43"/>
        <v>7.0452604504715159</v>
      </c>
      <c r="CV23" s="90">
        <v>14.249446099275417</v>
      </c>
      <c r="CW23" s="90">
        <f t="shared" si="44"/>
        <v>14.93</v>
      </c>
      <c r="CX23" s="90">
        <f t="shared" ref="CX23:CX47" si="525">CW23/($SP23-$HL23)*($SX23-$HN23)</f>
        <v>15.669271099857852</v>
      </c>
      <c r="CY23" s="90">
        <f t="shared" si="45"/>
        <v>15.75</v>
      </c>
      <c r="CZ23" s="90">
        <f t="shared" si="46"/>
        <v>16.658635616560055</v>
      </c>
      <c r="DA23" s="90">
        <f t="shared" si="47"/>
        <v>16.658635616560055</v>
      </c>
      <c r="DB23" s="93">
        <v>1.4169099999999999</v>
      </c>
      <c r="DC23" s="90">
        <f t="shared" si="48"/>
        <v>234.923678</v>
      </c>
      <c r="DD23" s="90">
        <f t="shared" si="49"/>
        <v>249.01909868000001</v>
      </c>
      <c r="DE23" s="90"/>
      <c r="DF23" s="90"/>
      <c r="DG23" s="90">
        <v>0.16261500000000001</v>
      </c>
      <c r="DH23" s="90">
        <f t="shared" si="520"/>
        <v>26.961567000000002</v>
      </c>
      <c r="DI23" s="90">
        <v>0.71072749999999996</v>
      </c>
      <c r="DJ23" s="90">
        <f t="shared" si="51"/>
        <v>19.1623271099925</v>
      </c>
      <c r="DK23" s="90">
        <f t="shared" si="52"/>
        <v>28.975384464871158</v>
      </c>
      <c r="DL23" s="90">
        <v>22.922169378740737</v>
      </c>
      <c r="DM23" s="90">
        <f t="shared" si="53"/>
        <v>24.02</v>
      </c>
      <c r="DN23" s="90">
        <f t="shared" ref="DN23:DN47" si="526">DM23/($SP23-$HL23)*($SX23-$HN23)</f>
        <v>25.209369847192601</v>
      </c>
      <c r="DO23" s="90">
        <f t="shared" si="54"/>
        <v>25.34</v>
      </c>
      <c r="DP23" s="90">
        <f t="shared" si="55"/>
        <v>26.801100302061116</v>
      </c>
      <c r="DQ23" s="90">
        <f t="shared" si="56"/>
        <v>26.801100302061116</v>
      </c>
      <c r="DR23" s="93">
        <v>5.6880149999999997E-2</v>
      </c>
      <c r="DS23" s="90">
        <f t="shared" si="57"/>
        <v>9.4307288699999994</v>
      </c>
      <c r="DT23" s="90">
        <f t="shared" si="58"/>
        <v>9.9965726022000005</v>
      </c>
      <c r="DU23" s="90"/>
      <c r="DV23" s="90">
        <v>6.1506199999999999E-3</v>
      </c>
      <c r="DW23" s="90">
        <f t="shared" si="521"/>
        <v>1.019772796</v>
      </c>
      <c r="DX23" s="90">
        <v>0.71072749999999996</v>
      </c>
      <c r="DY23" s="90">
        <f t="shared" si="60"/>
        <v>0.72478056986909001</v>
      </c>
      <c r="DZ23" s="90">
        <f t="shared" si="61"/>
        <v>1.095941820848789</v>
      </c>
      <c r="EA23" s="90">
        <f t="shared" si="62"/>
        <v>1.1499999999999999</v>
      </c>
      <c r="EB23" s="90">
        <f t="shared" ref="EB23:EB47" si="527">EA23/($SP23-$HL23)*($SX23-$HN23)</f>
        <v>1.2069431858564319</v>
      </c>
      <c r="EC23" s="90">
        <f t="shared" si="63"/>
        <v>1.21</v>
      </c>
      <c r="ED23" s="90">
        <f t="shared" si="64"/>
        <v>1.2831500977256571</v>
      </c>
      <c r="EE23" s="90">
        <f t="shared" si="65"/>
        <v>1.2831500977256571</v>
      </c>
      <c r="EF23" s="94">
        <v>0.85293354333000004</v>
      </c>
      <c r="EG23" s="90">
        <f t="shared" si="66"/>
        <v>113.13310518729122</v>
      </c>
      <c r="EH23" s="90">
        <f t="shared" si="67"/>
        <v>119.9210914985287</v>
      </c>
      <c r="EI23" s="90"/>
      <c r="EJ23" s="90">
        <v>0.58975</v>
      </c>
      <c r="EK23" s="90">
        <f t="shared" si="68"/>
        <v>78.224440000000001</v>
      </c>
      <c r="EL23" s="90">
        <v>0.71072749999999996</v>
      </c>
      <c r="EM23" s="90">
        <f t="shared" si="69"/>
        <v>55.596260680099995</v>
      </c>
      <c r="EN23" s="90">
        <f t="shared" si="70"/>
        <v>84.067191775212692</v>
      </c>
      <c r="EO23" s="90">
        <v>81.986070458693035</v>
      </c>
      <c r="EP23" s="90">
        <f t="shared" si="71"/>
        <v>85.92</v>
      </c>
      <c r="EQ23" s="90">
        <f t="shared" ref="EQ23:EQ47" si="528">EP23/($SP23-$HL23)*($SX23-$HN23)</f>
        <v>90.174398720682291</v>
      </c>
      <c r="ER23" s="90">
        <f t="shared" si="72"/>
        <v>90.65</v>
      </c>
      <c r="ES23" s="90">
        <f t="shared" si="73"/>
        <v>95.868049040511721</v>
      </c>
      <c r="ET23" s="90">
        <f t="shared" si="74"/>
        <v>95.868049040511721</v>
      </c>
      <c r="EU23" s="94">
        <v>0.14899999999999999</v>
      </c>
      <c r="EV23" s="90">
        <f t="shared" si="75"/>
        <v>16.856832672906393</v>
      </c>
      <c r="EW23" s="90">
        <f t="shared" si="76"/>
        <v>17.868242633280776</v>
      </c>
      <c r="EX23" s="90"/>
      <c r="EY23" s="90">
        <v>8.7870000000000004E-2</v>
      </c>
      <c r="EZ23" s="90">
        <f t="shared" si="77"/>
        <v>11.655076800000002</v>
      </c>
      <c r="FA23" s="90">
        <v>0.71072749999999996</v>
      </c>
      <c r="FB23" s="90">
        <f t="shared" si="78"/>
        <v>8.2835835963720008</v>
      </c>
      <c r="FC23" s="90">
        <f t="shared" si="79"/>
        <v>12.52561956979727</v>
      </c>
      <c r="FD23" s="90">
        <v>25.351424988349919</v>
      </c>
      <c r="FE23" s="90">
        <f t="shared" si="80"/>
        <v>26.57</v>
      </c>
      <c r="FF23" s="90">
        <f t="shared" ref="FF23:FF47" si="529">FE23/($SP23-$HL23)*($SX23-$HN23)</f>
        <v>27.885635172352519</v>
      </c>
      <c r="FG23" s="90">
        <f t="shared" si="81"/>
        <v>28.03</v>
      </c>
      <c r="FH23" s="90">
        <f t="shared" si="82"/>
        <v>29.646346170931054</v>
      </c>
      <c r="FI23" s="90">
        <f t="shared" si="83"/>
        <v>29.646346170931054</v>
      </c>
      <c r="FJ23" s="93">
        <v>0.49981642240000002</v>
      </c>
      <c r="FK23" s="90">
        <f t="shared" si="84"/>
        <v>66.295650267136011</v>
      </c>
      <c r="FL23" s="90">
        <f t="shared" si="85"/>
        <v>70.273389283164178</v>
      </c>
      <c r="FM23" s="90"/>
      <c r="FN23" s="90">
        <v>0.35812500000000003</v>
      </c>
      <c r="FO23" s="90">
        <f t="shared" si="86"/>
        <v>47.501700000000007</v>
      </c>
      <c r="FP23" s="90">
        <v>0.71072749999999996</v>
      </c>
      <c r="FQ23" s="90">
        <f t="shared" si="87"/>
        <v>33.760764486750006</v>
      </c>
      <c r="FR23" s="90">
        <f t="shared" si="88"/>
        <v>51.049704204320562</v>
      </c>
      <c r="FS23" s="90">
        <v>40.242733018979017</v>
      </c>
      <c r="FT23" s="90">
        <f t="shared" si="89"/>
        <v>42.17</v>
      </c>
      <c r="FU23" s="90">
        <v>40.276385631848804</v>
      </c>
      <c r="FV23" s="90">
        <f t="shared" si="90"/>
        <v>42.21</v>
      </c>
      <c r="FW23" s="90">
        <f t="shared" ref="FW23:FW47" si="530">FV23/($SP23-$HL23)*($SX23-$HN23)</f>
        <v>44.300062499999996</v>
      </c>
      <c r="FX23" s="90">
        <f t="shared" si="91"/>
        <v>44.53</v>
      </c>
      <c r="FY23" s="90">
        <f t="shared" si="92"/>
        <v>47.097187499999997</v>
      </c>
      <c r="FZ23" s="90">
        <f t="shared" si="93"/>
        <v>47.097187499999997</v>
      </c>
      <c r="GA23" s="94">
        <v>1.352261642E-2</v>
      </c>
      <c r="GB23" s="90">
        <f t="shared" si="94"/>
        <v>1.7936398419488002</v>
      </c>
      <c r="GC23" s="90">
        <f t="shared" si="95"/>
        <v>1.9012582324657283</v>
      </c>
      <c r="GD23" s="90"/>
      <c r="GE23" s="90">
        <v>1.0749999999999999E-2</v>
      </c>
      <c r="GF23" s="90">
        <f t="shared" si="96"/>
        <v>1.42588</v>
      </c>
      <c r="GG23" s="90">
        <v>0.71072749999999996</v>
      </c>
      <c r="GH23" s="90">
        <f t="shared" si="97"/>
        <v>1.0134121276999999</v>
      </c>
      <c r="GI23" s="90">
        <f t="shared" si="98"/>
        <v>1.532382045923758</v>
      </c>
      <c r="GJ23" s="90">
        <f t="shared" si="99"/>
        <v>1.61</v>
      </c>
      <c r="GK23" s="90">
        <f t="shared" ref="GK23:GK47" si="531">GJ23/($SP23-$HL23)*($SX23-$HN23)</f>
        <v>1.6897204601990048</v>
      </c>
      <c r="GL23" s="90">
        <f t="shared" si="100"/>
        <v>1.7</v>
      </c>
      <c r="GM23" s="90">
        <f t="shared" si="101"/>
        <v>1.7964101368159202</v>
      </c>
      <c r="GN23" s="90">
        <f t="shared" si="102"/>
        <v>1.7964101368159202</v>
      </c>
      <c r="GO23" s="90"/>
      <c r="GP23" s="90">
        <f t="shared" si="103"/>
        <v>0</v>
      </c>
      <c r="GQ23" s="90"/>
      <c r="GR23" s="90">
        <f t="shared" si="104"/>
        <v>0</v>
      </c>
      <c r="GS23" s="90">
        <f t="shared" si="105"/>
        <v>0</v>
      </c>
      <c r="GT23" s="90">
        <f t="shared" si="106"/>
        <v>0</v>
      </c>
      <c r="GU23" s="90"/>
      <c r="GV23" s="90"/>
      <c r="GW23" s="90">
        <f t="shared" si="107"/>
        <v>0</v>
      </c>
      <c r="GX23" s="90">
        <f t="shared" si="108"/>
        <v>0</v>
      </c>
      <c r="GY23" s="90"/>
      <c r="GZ23" s="90"/>
      <c r="HA23" s="90">
        <f t="shared" si="109"/>
        <v>0</v>
      </c>
      <c r="HB23" s="90">
        <f t="shared" si="110"/>
        <v>0</v>
      </c>
      <c r="HC23" s="90"/>
      <c r="HD23" s="90"/>
      <c r="HE23" s="90">
        <f t="shared" si="111"/>
        <v>0</v>
      </c>
      <c r="HF23" s="90">
        <f t="shared" si="112"/>
        <v>0</v>
      </c>
      <c r="HG23" s="90"/>
      <c r="HH23" s="90"/>
      <c r="HI23" s="90">
        <v>0.96</v>
      </c>
      <c r="HJ23" s="90">
        <f t="shared" si="113"/>
        <v>159.16800000000001</v>
      </c>
      <c r="HK23" s="90">
        <f t="shared" si="114"/>
        <v>1.0060916767189385</v>
      </c>
      <c r="HL23" s="90">
        <f t="shared" si="115"/>
        <v>166.81</v>
      </c>
      <c r="HM23" s="90">
        <v>1.07</v>
      </c>
      <c r="HN23" s="90">
        <f t="shared" si="116"/>
        <v>177.40600000000003</v>
      </c>
      <c r="HO23" s="90">
        <v>1.1499999999999999</v>
      </c>
      <c r="HP23" s="90">
        <f t="shared" si="117"/>
        <v>190.67</v>
      </c>
      <c r="HQ23" s="90">
        <v>1.1499999999999999</v>
      </c>
      <c r="HR23" s="90">
        <f t="shared" si="118"/>
        <v>190.67</v>
      </c>
      <c r="HS23" s="90">
        <v>0.31919999999999998</v>
      </c>
      <c r="HT23" s="90">
        <f t="shared" si="119"/>
        <v>52.923360000000002</v>
      </c>
      <c r="HU23" s="90" t="e">
        <f>HT23*#REF!</f>
        <v>#REF!</v>
      </c>
      <c r="HV23" s="90">
        <v>2.83</v>
      </c>
      <c r="HW23" s="90">
        <v>3.1</v>
      </c>
      <c r="HX23" s="90">
        <f t="shared" si="120"/>
        <v>513.98</v>
      </c>
      <c r="HY23" s="90">
        <v>1.06</v>
      </c>
      <c r="HZ23" s="90">
        <f t="shared" si="121"/>
        <v>544.81880000000001</v>
      </c>
      <c r="IA23" s="90">
        <f t="shared" si="122"/>
        <v>3.29</v>
      </c>
      <c r="IB23" s="90">
        <f t="shared" si="123"/>
        <v>3.45</v>
      </c>
      <c r="IC23" s="90">
        <f t="shared" si="124"/>
        <v>572.0100000000001</v>
      </c>
      <c r="ID23" s="90">
        <f t="shared" si="125"/>
        <v>3.64</v>
      </c>
      <c r="IE23" s="90">
        <f t="shared" si="126"/>
        <v>603.51</v>
      </c>
      <c r="IF23" s="90">
        <f t="shared" si="127"/>
        <v>3.64</v>
      </c>
      <c r="IG23" s="92">
        <f t="shared" si="128"/>
        <v>7242.12</v>
      </c>
      <c r="IH23" s="90">
        <v>3.91</v>
      </c>
      <c r="II23" s="90">
        <f t="shared" si="129"/>
        <v>4.1100000000000003</v>
      </c>
      <c r="IJ23" s="90">
        <f t="shared" si="130"/>
        <v>681.44</v>
      </c>
      <c r="IK23" s="90">
        <f t="shared" si="131"/>
        <v>4.1100000000000003</v>
      </c>
      <c r="IL23" s="90">
        <f t="shared" si="132"/>
        <v>681.44</v>
      </c>
      <c r="IM23" s="90">
        <f t="shared" si="133"/>
        <v>4.1100000000000003</v>
      </c>
      <c r="IN23" s="90">
        <f t="shared" si="134"/>
        <v>681.44</v>
      </c>
      <c r="IO23" s="90">
        <f t="shared" si="135"/>
        <v>4.1100000000000003</v>
      </c>
      <c r="IP23" s="93">
        <v>0.37052404126999999</v>
      </c>
      <c r="IQ23" s="90">
        <f t="shared" si="136"/>
        <v>49.146308834052803</v>
      </c>
      <c r="IR23" s="90">
        <f t="shared" si="137"/>
        <v>52.095087364095974</v>
      </c>
      <c r="IS23" s="90">
        <v>108693.96</v>
      </c>
      <c r="IT23" s="90">
        <v>3053.33</v>
      </c>
      <c r="IU23" s="94"/>
      <c r="IV23" s="94"/>
      <c r="IW23" s="94">
        <v>1.6976249999999999</v>
      </c>
      <c r="IX23" s="90">
        <f t="shared" si="138"/>
        <v>225.17298000000002</v>
      </c>
      <c r="IY23" s="93">
        <v>0.56339614052999998</v>
      </c>
      <c r="IZ23" s="90">
        <f t="shared" si="139"/>
        <v>93.411080099873999</v>
      </c>
      <c r="JA23" s="90">
        <f t="shared" si="140"/>
        <v>97.89</v>
      </c>
      <c r="JB23" s="90">
        <f t="shared" ref="JB23:JB47" si="532">JA23/($SP23-$HL23)*($SX23-$HN23)</f>
        <v>102.73710301172707</v>
      </c>
      <c r="JC23" s="90">
        <f t="shared" si="141"/>
        <v>103.27</v>
      </c>
      <c r="JD23" s="90">
        <f t="shared" si="142"/>
        <v>109.2239678837953</v>
      </c>
      <c r="JE23" s="90">
        <f t="shared" si="143"/>
        <v>109.2239678837953</v>
      </c>
      <c r="JF23" s="93">
        <v>4.2278943710000003E-2</v>
      </c>
      <c r="JG23" s="90">
        <f t="shared" si="144"/>
        <v>5.6078790936944012</v>
      </c>
      <c r="JH23" s="90">
        <f t="shared" si="145"/>
        <v>5.9443518393160657</v>
      </c>
      <c r="JI23" s="20">
        <v>462.98</v>
      </c>
      <c r="JJ23" s="20"/>
      <c r="JK23" s="20">
        <v>6.0624999999999998E-2</v>
      </c>
      <c r="JL23" s="90">
        <f t="shared" si="146"/>
        <v>8.0413000000000014</v>
      </c>
      <c r="JM23" s="93">
        <v>6.7347080040000007E-2</v>
      </c>
      <c r="JN23" s="90">
        <f t="shared" si="147"/>
        <v>11.166145870632002</v>
      </c>
      <c r="JO23" s="90">
        <f t="shared" si="148"/>
        <v>11.7</v>
      </c>
      <c r="JP23" s="90">
        <f t="shared" ref="JP23:JP47" si="533">JO23/($SP23-$HL23)*($SX23-$HN23)</f>
        <v>12.279335021321959</v>
      </c>
      <c r="JQ23" s="90">
        <f t="shared" si="149"/>
        <v>12.34</v>
      </c>
      <c r="JR23" s="90">
        <f t="shared" si="150"/>
        <v>13.054657515991469</v>
      </c>
      <c r="JS23" s="90">
        <f t="shared" si="151"/>
        <v>13.054657515991469</v>
      </c>
      <c r="JT23" s="93">
        <v>7.3220517000000002E-3</v>
      </c>
      <c r="JU23" s="90">
        <f t="shared" si="152"/>
        <v>0.97119693748800018</v>
      </c>
      <c r="JV23" s="90">
        <f t="shared" si="153"/>
        <v>1.02</v>
      </c>
      <c r="JW23" s="90">
        <f t="shared" ref="JW23:JW47" si="534">JV23/($SP23-$HL23)*($SX23-$HN23)</f>
        <v>1.0705061300639658</v>
      </c>
      <c r="JX23" s="90">
        <f t="shared" si="154"/>
        <v>1.08</v>
      </c>
      <c r="JY23" s="90">
        <f t="shared" si="155"/>
        <v>1.1380983475479745</v>
      </c>
      <c r="JZ23" s="90">
        <f t="shared" si="156"/>
        <v>1.1380983475479745</v>
      </c>
      <c r="KA23" s="90">
        <v>8.3090999999999998E-3</v>
      </c>
      <c r="KB23" s="90">
        <f t="shared" si="157"/>
        <v>1.1021190240000001</v>
      </c>
      <c r="KC23" s="90" t="e">
        <f>KB23*#REF!</f>
        <v>#REF!</v>
      </c>
      <c r="KD23" s="90">
        <v>34406.519999999997</v>
      </c>
      <c r="KE23" s="90">
        <v>40292.97</v>
      </c>
      <c r="KF23" s="90"/>
      <c r="KG23" s="90">
        <f t="shared" si="522"/>
        <v>194.16594372229454</v>
      </c>
      <c r="KH23" s="90" t="e">
        <f>KG23/(BW23+#REF!)*(CB23+#REF!)</f>
        <v>#REF!</v>
      </c>
      <c r="KI23" s="90">
        <v>0.8</v>
      </c>
      <c r="KJ23" s="94"/>
      <c r="KK23" s="90">
        <f t="shared" si="159"/>
        <v>0</v>
      </c>
      <c r="KL23" s="93">
        <v>1.2690177</v>
      </c>
      <c r="KM23" s="90">
        <f t="shared" si="160"/>
        <v>210.40313466000001</v>
      </c>
      <c r="KN23" s="90">
        <f t="shared" si="161"/>
        <v>223.02732273960001</v>
      </c>
      <c r="KO23" s="90" t="e">
        <f>BW23+CN23+DC23+DS23+EG23+EV23+FK23+GB23+#REF!+#REF!+HJ23+HX23+IQ23+JG23+JU23+KK23+KM23</f>
        <v>#REF!</v>
      </c>
      <c r="KP23" s="90"/>
      <c r="KQ23" s="90">
        <v>0.50815001599999998</v>
      </c>
      <c r="KR23" s="90">
        <f t="shared" si="514"/>
        <v>84.251272652799997</v>
      </c>
      <c r="KS23" s="90">
        <v>0.71072749999999996</v>
      </c>
      <c r="KT23" s="90">
        <f t="shared" si="163"/>
        <v>59.879696384342907</v>
      </c>
      <c r="KU23" s="90">
        <f t="shared" si="164"/>
        <v>90.544181529566316</v>
      </c>
      <c r="KV23" s="90">
        <f t="shared" si="165"/>
        <v>94.89</v>
      </c>
      <c r="KW23" s="90">
        <f t="shared" ref="KW23:KW47" si="535">KV23/($SP23-$HL23)*($SX23-$HN23)</f>
        <v>99.588555570362459</v>
      </c>
      <c r="KX23" s="90">
        <f t="shared" si="166"/>
        <v>100.11</v>
      </c>
      <c r="KY23" s="90">
        <f t="shared" si="167"/>
        <v>105.87661980277184</v>
      </c>
      <c r="KZ23" s="90">
        <f t="shared" si="168"/>
        <v>105.87661980277184</v>
      </c>
      <c r="LA23" s="90">
        <f t="shared" si="169"/>
        <v>649.94000000000005</v>
      </c>
      <c r="LB23" s="90">
        <f t="shared" si="170"/>
        <v>3.92</v>
      </c>
      <c r="LC23" s="92">
        <f t="shared" si="171"/>
        <v>7799.2800000000007</v>
      </c>
      <c r="LD23" s="92">
        <v>4.21</v>
      </c>
      <c r="LE23" s="92">
        <v>698.02</v>
      </c>
      <c r="LF23" s="90">
        <f t="shared" si="172"/>
        <v>4.18</v>
      </c>
      <c r="LG23" s="90">
        <f t="shared" si="173"/>
        <v>693.04</v>
      </c>
      <c r="LH23" s="90">
        <f t="shared" si="174"/>
        <v>698.68550000000005</v>
      </c>
      <c r="LI23" s="90">
        <f t="shared" si="175"/>
        <v>4.21</v>
      </c>
      <c r="LJ23" s="90">
        <f t="shared" si="176"/>
        <v>693.04</v>
      </c>
      <c r="LK23" s="90">
        <f t="shared" si="177"/>
        <v>4.18</v>
      </c>
      <c r="LL23" s="90">
        <f t="shared" si="178"/>
        <v>693.04</v>
      </c>
      <c r="LM23" s="90">
        <f t="shared" si="179"/>
        <v>4.18</v>
      </c>
      <c r="LN23" s="95">
        <v>0.46</v>
      </c>
      <c r="LO23" s="95">
        <f t="shared" si="180"/>
        <v>76.27</v>
      </c>
      <c r="LP23" s="95"/>
      <c r="LQ23" s="95">
        <f t="shared" si="181"/>
        <v>0</v>
      </c>
      <c r="LR23" s="90"/>
      <c r="LS23" s="90"/>
      <c r="LT23" s="90">
        <f t="shared" si="182"/>
        <v>0</v>
      </c>
      <c r="LU23" s="90"/>
      <c r="LV23" s="90">
        <f t="shared" si="183"/>
        <v>0</v>
      </c>
      <c r="LW23" s="90">
        <f t="shared" si="184"/>
        <v>0</v>
      </c>
      <c r="LX23" s="90"/>
      <c r="LY23" s="90"/>
      <c r="LZ23" s="90">
        <f t="shared" si="185"/>
        <v>0</v>
      </c>
      <c r="MA23" s="90"/>
      <c r="MB23" s="90">
        <f t="shared" si="186"/>
        <v>0</v>
      </c>
      <c r="MC23" s="90">
        <f t="shared" si="187"/>
        <v>0</v>
      </c>
      <c r="MD23" s="90"/>
      <c r="ME23" s="90"/>
      <c r="MF23" s="90">
        <f t="shared" si="188"/>
        <v>0</v>
      </c>
      <c r="MG23" s="90"/>
      <c r="MH23" s="90">
        <f t="shared" si="189"/>
        <v>0</v>
      </c>
      <c r="MI23" s="90">
        <f t="shared" si="190"/>
        <v>0</v>
      </c>
      <c r="MJ23" s="90"/>
      <c r="MK23" s="90"/>
      <c r="ML23" s="90">
        <f t="shared" si="191"/>
        <v>0</v>
      </c>
      <c r="MM23" s="90"/>
      <c r="MN23" s="90">
        <f t="shared" si="192"/>
        <v>0</v>
      </c>
      <c r="MO23" s="90">
        <f t="shared" si="193"/>
        <v>0</v>
      </c>
      <c r="MP23" s="90">
        <f t="shared" si="194"/>
        <v>0</v>
      </c>
      <c r="MQ23" s="90">
        <f t="shared" si="195"/>
        <v>0</v>
      </c>
      <c r="MR23" s="90">
        <f t="shared" si="196"/>
        <v>0</v>
      </c>
      <c r="MS23" s="90">
        <f t="shared" si="197"/>
        <v>0</v>
      </c>
      <c r="MT23" s="95"/>
      <c r="MU23" s="95">
        <f t="shared" si="198"/>
        <v>0</v>
      </c>
      <c r="MV23" s="92">
        <f t="shared" si="199"/>
        <v>0</v>
      </c>
      <c r="MW23" s="95"/>
      <c r="MX23" s="95">
        <f t="shared" si="200"/>
        <v>0</v>
      </c>
      <c r="MY23" s="95"/>
      <c r="MZ23" s="95">
        <f t="shared" si="201"/>
        <v>0</v>
      </c>
      <c r="NA23" s="95"/>
      <c r="NB23" s="95">
        <f t="shared" si="202"/>
        <v>0</v>
      </c>
      <c r="NC23" s="92">
        <f t="shared" si="203"/>
        <v>0</v>
      </c>
      <c r="ND23" s="95"/>
      <c r="NE23" s="95">
        <f t="shared" si="204"/>
        <v>0</v>
      </c>
      <c r="NF23" s="95"/>
      <c r="NG23" s="95">
        <f t="shared" si="205"/>
        <v>0</v>
      </c>
      <c r="NH23" s="95"/>
      <c r="NI23" s="95"/>
      <c r="NJ23" s="95">
        <f t="shared" si="206"/>
        <v>0</v>
      </c>
      <c r="NK23" s="92">
        <f t="shared" si="207"/>
        <v>0</v>
      </c>
      <c r="NL23" s="95"/>
      <c r="NM23" s="95">
        <f t="shared" si="208"/>
        <v>0</v>
      </c>
      <c r="NN23" s="95"/>
      <c r="NO23" s="95">
        <f t="shared" si="209"/>
        <v>0</v>
      </c>
      <c r="NP23" s="95"/>
      <c r="NQ23" s="95">
        <f t="shared" si="210"/>
        <v>0</v>
      </c>
      <c r="NR23" s="92">
        <f t="shared" si="211"/>
        <v>0</v>
      </c>
      <c r="NS23" s="95"/>
      <c r="NT23" s="95">
        <f t="shared" si="212"/>
        <v>0</v>
      </c>
      <c r="NU23" s="95"/>
      <c r="NV23" s="95">
        <f t="shared" si="213"/>
        <v>0</v>
      </c>
      <c r="NW23" s="95"/>
      <c r="NX23" s="95">
        <f t="shared" si="214"/>
        <v>0</v>
      </c>
      <c r="NY23" s="92">
        <f t="shared" si="215"/>
        <v>0</v>
      </c>
      <c r="NZ23" s="95"/>
      <c r="OA23" s="95">
        <f t="shared" si="216"/>
        <v>0</v>
      </c>
      <c r="OB23" s="95"/>
      <c r="OC23" s="95">
        <f t="shared" si="217"/>
        <v>0</v>
      </c>
      <c r="OD23" s="90">
        <v>926.82</v>
      </c>
      <c r="OE23" s="90">
        <f t="shared" si="218"/>
        <v>5.59</v>
      </c>
      <c r="OF23" s="92">
        <f t="shared" si="219"/>
        <v>11121.84</v>
      </c>
      <c r="OG23" s="96">
        <v>277.02</v>
      </c>
      <c r="OH23" s="96">
        <v>1.67</v>
      </c>
      <c r="OI23" s="90">
        <v>1203.71</v>
      </c>
      <c r="OJ23" s="90">
        <f t="shared" si="220"/>
        <v>7.26</v>
      </c>
      <c r="OK23" s="90">
        <f t="shared" si="221"/>
        <v>1203.8400000000001</v>
      </c>
      <c r="OL23" s="90">
        <f t="shared" si="222"/>
        <v>7.26</v>
      </c>
      <c r="OM23" s="90">
        <f t="shared" si="223"/>
        <v>0</v>
      </c>
      <c r="ON23" s="90">
        <v>926.82</v>
      </c>
      <c r="OO23" s="90">
        <f t="shared" si="224"/>
        <v>5.59</v>
      </c>
      <c r="OP23" s="90">
        <v>926.69</v>
      </c>
      <c r="OQ23" s="90">
        <v>5.59</v>
      </c>
      <c r="OR23" s="90">
        <f t="shared" si="225"/>
        <v>0</v>
      </c>
      <c r="OS23" s="90">
        <f t="shared" si="226"/>
        <v>5.59</v>
      </c>
      <c r="OT23" s="90">
        <v>926.82</v>
      </c>
      <c r="OU23" s="90">
        <f t="shared" si="227"/>
        <v>5.59</v>
      </c>
      <c r="OV23" s="97">
        <v>761.02</v>
      </c>
      <c r="OW23" s="90">
        <f t="shared" si="228"/>
        <v>847.24</v>
      </c>
      <c r="OX23" s="90">
        <f t="shared" si="229"/>
        <v>5.1100000000000003</v>
      </c>
      <c r="OY23" s="90">
        <f>OU23-1+0.52</f>
        <v>5.1099999999999994</v>
      </c>
      <c r="OZ23" s="90"/>
      <c r="PA23" s="90"/>
      <c r="PB23" s="95">
        <f t="shared" si="230"/>
        <v>0</v>
      </c>
      <c r="PC23" s="92">
        <f t="shared" si="231"/>
        <v>0</v>
      </c>
      <c r="PD23" s="90"/>
      <c r="PE23" s="95">
        <f t="shared" si="232"/>
        <v>0</v>
      </c>
      <c r="PF23" s="90">
        <f t="shared" si="233"/>
        <v>2457.29</v>
      </c>
      <c r="PG23" s="90">
        <f t="shared" si="234"/>
        <v>14.82</v>
      </c>
      <c r="PH23" s="90">
        <f t="shared" si="235"/>
        <v>2818.0299999999997</v>
      </c>
      <c r="PI23" s="90">
        <f t="shared" si="236"/>
        <v>17</v>
      </c>
      <c r="PJ23" s="90">
        <f t="shared" si="237"/>
        <v>2818.0299999999997</v>
      </c>
      <c r="PK23" s="90">
        <f t="shared" si="238"/>
        <v>17</v>
      </c>
      <c r="PL23" s="90"/>
      <c r="PM23" s="90">
        <f t="shared" si="239"/>
        <v>73.72</v>
      </c>
      <c r="PN23" s="90">
        <f t="shared" si="240"/>
        <v>0.44</v>
      </c>
      <c r="PO23" s="92">
        <f t="shared" si="241"/>
        <v>884.64</v>
      </c>
      <c r="PP23" s="90">
        <f t="shared" si="242"/>
        <v>84.54</v>
      </c>
      <c r="PQ23" s="90">
        <f t="shared" si="243"/>
        <v>0.51</v>
      </c>
      <c r="PR23" s="90">
        <f t="shared" si="244"/>
        <v>84.54</v>
      </c>
      <c r="PS23" s="90">
        <f t="shared" si="245"/>
        <v>0.51</v>
      </c>
      <c r="PT23" s="90">
        <f t="shared" si="246"/>
        <v>2531.0099999999998</v>
      </c>
      <c r="PU23" s="90">
        <f t="shared" si="247"/>
        <v>15.27</v>
      </c>
      <c r="PV23" s="90">
        <f t="shared" si="248"/>
        <v>2902.5699999999997</v>
      </c>
      <c r="PW23" s="90">
        <f t="shared" si="249"/>
        <v>17.510000000000002</v>
      </c>
      <c r="PX23" s="90">
        <f t="shared" si="250"/>
        <v>2902.5699999999997</v>
      </c>
      <c r="PY23" s="90">
        <f t="shared" si="251"/>
        <v>17.510000000000002</v>
      </c>
      <c r="PZ23" s="90">
        <f t="shared" si="252"/>
        <v>25.57</v>
      </c>
      <c r="QA23" s="90">
        <f t="shared" si="253"/>
        <v>0.15</v>
      </c>
      <c r="QB23" s="92">
        <f t="shared" si="254"/>
        <v>306.84000000000003</v>
      </c>
      <c r="QC23" s="90">
        <f t="shared" si="255"/>
        <v>29.32</v>
      </c>
      <c r="QD23" s="90">
        <f t="shared" si="256"/>
        <v>0.18</v>
      </c>
      <c r="QE23" s="90">
        <f t="shared" si="257"/>
        <v>29.32</v>
      </c>
      <c r="QF23" s="90">
        <f t="shared" si="258"/>
        <v>0.18</v>
      </c>
      <c r="QG23" s="90">
        <f t="shared" si="259"/>
        <v>2556.58</v>
      </c>
      <c r="QH23" s="90">
        <f t="shared" si="260"/>
        <v>15.42</v>
      </c>
      <c r="QI23" s="92">
        <f t="shared" si="261"/>
        <v>30678.959999999999</v>
      </c>
      <c r="QJ23" s="90">
        <f t="shared" si="262"/>
        <v>115.00855557036246</v>
      </c>
      <c r="QK23" s="98">
        <f t="shared" si="263"/>
        <v>0.21869999999999998</v>
      </c>
      <c r="QL23" s="90">
        <f t="shared" si="264"/>
        <v>36.260460000000002</v>
      </c>
      <c r="QM23" s="90">
        <f t="shared" si="265"/>
        <v>0.14579999999999999</v>
      </c>
      <c r="QN23" s="90">
        <f t="shared" si="266"/>
        <v>24.173639999999999</v>
      </c>
      <c r="QO23" s="90">
        <v>0.21869999999999998</v>
      </c>
      <c r="QP23" s="90">
        <v>0.14579999999999999</v>
      </c>
      <c r="QQ23" s="97">
        <f t="shared" si="267"/>
        <v>60.434100000000001</v>
      </c>
      <c r="QR23" s="97">
        <v>60.434100000000001</v>
      </c>
      <c r="QS23" s="97">
        <f t="shared" si="268"/>
        <v>0</v>
      </c>
      <c r="QT23" s="90"/>
      <c r="QU23" s="90">
        <f t="shared" si="269"/>
        <v>0.14579999999999999</v>
      </c>
      <c r="QV23" s="90">
        <f t="shared" si="270"/>
        <v>24.173639999999999</v>
      </c>
      <c r="QW23" s="90">
        <f t="shared" si="271"/>
        <v>60.434100000000001</v>
      </c>
      <c r="QX23" s="90">
        <f t="shared" si="272"/>
        <v>0.36449999999999999</v>
      </c>
      <c r="QY23" s="90"/>
      <c r="QZ23" s="90"/>
      <c r="RA23" s="90"/>
      <c r="RB23" s="90">
        <v>617.05000000000007</v>
      </c>
      <c r="RC23" s="97">
        <f t="shared" si="273"/>
        <v>2556.58</v>
      </c>
      <c r="RD23" s="97">
        <f t="shared" si="274"/>
        <v>15.42</v>
      </c>
      <c r="RE23" s="90">
        <f t="shared" si="275"/>
        <v>2931.89</v>
      </c>
      <c r="RF23" s="90">
        <f t="shared" si="276"/>
        <v>17.68</v>
      </c>
      <c r="RG23" s="90">
        <f t="shared" si="277"/>
        <v>114.73069435431537</v>
      </c>
      <c r="RH23" s="90">
        <f t="shared" si="278"/>
        <v>2931.89</v>
      </c>
      <c r="RI23" s="90">
        <f t="shared" si="279"/>
        <v>17.68</v>
      </c>
      <c r="RJ23" s="90">
        <v>17.14</v>
      </c>
      <c r="RK23" s="90">
        <v>0</v>
      </c>
      <c r="RL23" s="90">
        <f t="shared" si="280"/>
        <v>0.53999999999999915</v>
      </c>
      <c r="RM23" s="90">
        <f t="shared" si="281"/>
        <v>105.10992275698156</v>
      </c>
      <c r="RN23" s="90">
        <f t="shared" si="282"/>
        <v>2296</v>
      </c>
      <c r="RO23" s="90"/>
      <c r="RP23" s="90"/>
      <c r="RQ23" s="99">
        <v>665</v>
      </c>
      <c r="RR23" s="90">
        <f t="shared" si="283"/>
        <v>1629.76</v>
      </c>
      <c r="RS23" s="90">
        <f t="shared" si="284"/>
        <v>9.8296743063932439</v>
      </c>
      <c r="RT23" s="90">
        <f>11.28+3.3</f>
        <v>14.579999999999998</v>
      </c>
      <c r="RU23" s="90">
        <f t="shared" si="285"/>
        <v>2417.364</v>
      </c>
      <c r="RV23" s="90">
        <f t="shared" si="286"/>
        <v>0.69365835687793997</v>
      </c>
      <c r="RW23" s="90">
        <v>10.43</v>
      </c>
      <c r="RX23" s="90">
        <f t="shared" si="287"/>
        <v>10.951499999999999</v>
      </c>
      <c r="RY23" s="90">
        <f t="shared" si="288"/>
        <v>1815.7587000000001</v>
      </c>
      <c r="RZ23" s="90">
        <f t="shared" si="289"/>
        <v>479.03551676431312</v>
      </c>
      <c r="SA23" s="90">
        <f t="shared" si="290"/>
        <v>214.31909385631911</v>
      </c>
      <c r="SB23" s="90">
        <f t="shared" si="291"/>
        <v>324.07223334640605</v>
      </c>
      <c r="SC23" s="90">
        <f t="shared" si="292"/>
        <v>588.78865625440005</v>
      </c>
      <c r="SD23" s="90">
        <f t="shared" si="293"/>
        <v>588.78865625440005</v>
      </c>
      <c r="SE23" s="90">
        <f t="shared" si="294"/>
        <v>597.65315969749224</v>
      </c>
      <c r="SF23" s="90">
        <f t="shared" si="295"/>
        <v>588.75500364153027</v>
      </c>
      <c r="SG23" s="90">
        <f t="shared" si="296"/>
        <v>3.3652612869786935E-2</v>
      </c>
      <c r="SH23" s="90">
        <f t="shared" si="297"/>
        <v>588.78865625440005</v>
      </c>
      <c r="SI23" s="90">
        <f t="shared" si="298"/>
        <v>3.551198168</v>
      </c>
      <c r="SJ23" s="90">
        <f t="shared" si="299"/>
        <v>3.5509951968729205</v>
      </c>
      <c r="SK23" s="90"/>
      <c r="SL23" s="90"/>
      <c r="SM23" s="90"/>
      <c r="SN23" s="90">
        <f t="shared" si="300"/>
        <v>630.36000000000013</v>
      </c>
      <c r="SO23" s="90" t="e">
        <f>RU23-#REF!-#REF!-HZ23-LT23-LZ23-MF23-ML23-QL23-QN23-SD23</f>
        <v>#REF!</v>
      </c>
      <c r="SP23" s="90">
        <f t="shared" si="301"/>
        <v>617.05000000000007</v>
      </c>
      <c r="SQ23" s="90">
        <f t="shared" si="302"/>
        <v>649.94000000000005</v>
      </c>
      <c r="SR23" s="90">
        <f t="shared" si="303"/>
        <v>3.721652593486128</v>
      </c>
      <c r="SS23" s="90">
        <f t="shared" si="304"/>
        <v>3.9200241254523522</v>
      </c>
      <c r="ST23" s="90">
        <f t="shared" si="305"/>
        <v>652.40600000000006</v>
      </c>
      <c r="SU23" s="90">
        <v>3.721652593486128</v>
      </c>
      <c r="SV23" s="90">
        <f t="shared" si="306"/>
        <v>3.93</v>
      </c>
      <c r="SW23" s="90">
        <v>3.92</v>
      </c>
      <c r="SX23" s="90">
        <f t="shared" si="307"/>
        <v>649.94000000000005</v>
      </c>
      <c r="SY23" s="90">
        <v>3.721652593486128</v>
      </c>
      <c r="SZ23" s="90">
        <f t="shared" si="308"/>
        <v>617.05000000000007</v>
      </c>
      <c r="TA23" s="90">
        <f t="shared" si="309"/>
        <v>0</v>
      </c>
      <c r="TB23" s="90">
        <v>0</v>
      </c>
      <c r="TC23" s="90">
        <f t="shared" si="310"/>
        <v>890.84989999999982</v>
      </c>
      <c r="TD23" s="90" t="e">
        <f>#REF!+#REF!</f>
        <v>#REF!</v>
      </c>
      <c r="TE23" s="90" t="e">
        <f t="shared" si="311"/>
        <v>#REF!</v>
      </c>
      <c r="TF23" s="90">
        <v>896.56989999999962</v>
      </c>
      <c r="TG23" s="90">
        <f t="shared" si="312"/>
        <v>36.852120739781007</v>
      </c>
      <c r="TH23" s="95"/>
      <c r="TI23" s="95"/>
      <c r="TJ23" s="95"/>
      <c r="TK23" s="95"/>
      <c r="TL23" s="95"/>
      <c r="TM23" s="95">
        <f t="shared" si="313"/>
        <v>0</v>
      </c>
      <c r="TN23" s="95">
        <f t="shared" si="314"/>
        <v>2417.364</v>
      </c>
      <c r="TO23" s="95">
        <f t="shared" si="315"/>
        <v>36.852120739781007</v>
      </c>
      <c r="TP23" s="95"/>
      <c r="TQ23" s="95">
        <f t="shared" si="316"/>
        <v>14.579999999999998</v>
      </c>
      <c r="TR23" s="95"/>
      <c r="TS23" s="95"/>
      <c r="TT23" s="95"/>
      <c r="TU23" s="95"/>
      <c r="TV23" s="95"/>
      <c r="TW23" s="95"/>
      <c r="TX23" s="95"/>
      <c r="TY23" s="95"/>
      <c r="TZ23" s="95">
        <f t="shared" si="317"/>
        <v>2.5</v>
      </c>
      <c r="UA23" s="95">
        <f t="shared" si="318"/>
        <v>0.64151999999999998</v>
      </c>
      <c r="UB23" s="90">
        <v>0</v>
      </c>
      <c r="UC23" s="90">
        <f t="shared" si="319"/>
        <v>0</v>
      </c>
      <c r="UD23" s="90">
        <f t="shared" si="320"/>
        <v>0</v>
      </c>
      <c r="UE23" s="90">
        <f t="shared" si="321"/>
        <v>0</v>
      </c>
      <c r="UF23" s="90">
        <f t="shared" si="322"/>
        <v>2417.364</v>
      </c>
      <c r="UG23" s="91">
        <f t="shared" si="323"/>
        <v>0</v>
      </c>
      <c r="UH23" s="95">
        <f t="shared" si="324"/>
        <v>36.852120739781007</v>
      </c>
      <c r="UI23" s="95">
        <f t="shared" si="325"/>
        <v>2417.364</v>
      </c>
      <c r="UJ23" s="101">
        <f t="shared" si="326"/>
        <v>0</v>
      </c>
      <c r="UK23" s="101">
        <f t="shared" si="327"/>
        <v>36.852120739781007</v>
      </c>
      <c r="UL23" s="90" t="e">
        <f>(#REF!+#REF!+HZ23+LT23+LZ23+MF23+ML23+QL23+QN23+SN23+TC23+TM23+UC23)/I23</f>
        <v>#REF!</v>
      </c>
      <c r="UN23" s="90" t="e">
        <f>#REF!/I23</f>
        <v>#REF!</v>
      </c>
      <c r="UO23" s="90" t="e">
        <f>#REF!/I23</f>
        <v>#REF!</v>
      </c>
      <c r="UP23" s="90">
        <v>1.1499999999999999</v>
      </c>
      <c r="UQ23" s="90" t="e">
        <f t="shared" si="328"/>
        <v>#REF!</v>
      </c>
      <c r="UR23" s="90">
        <f t="shared" si="329"/>
        <v>1629.76</v>
      </c>
      <c r="US23" s="90">
        <f t="shared" si="330"/>
        <v>2008.3799999999999</v>
      </c>
      <c r="UT23" s="90">
        <f t="shared" si="331"/>
        <v>2008.3799999999999</v>
      </c>
      <c r="UU23" s="90">
        <f t="shared" si="516"/>
        <v>2084.65</v>
      </c>
      <c r="UV23" s="90">
        <f t="shared" si="333"/>
        <v>2008.3799999999999</v>
      </c>
      <c r="UW23" s="90">
        <f t="shared" si="334"/>
        <v>5.59</v>
      </c>
      <c r="UX23" s="90">
        <f t="shared" si="335"/>
        <v>3.92</v>
      </c>
      <c r="UY23" s="90">
        <f t="shared" si="336"/>
        <v>3.8019300361881792</v>
      </c>
      <c r="UZ23" s="100">
        <f t="shared" si="337"/>
        <v>3.551198168</v>
      </c>
      <c r="VA23" s="90">
        <f t="shared" si="338"/>
        <v>0</v>
      </c>
      <c r="VB23" s="90">
        <f t="shared" si="339"/>
        <v>1.67</v>
      </c>
      <c r="VC23" s="90">
        <f t="shared" si="340"/>
        <v>0</v>
      </c>
      <c r="VD23" s="90">
        <f t="shared" si="341"/>
        <v>0</v>
      </c>
      <c r="VE23" s="90">
        <f t="shared" si="342"/>
        <v>0</v>
      </c>
      <c r="VF23" s="90">
        <f t="shared" si="343"/>
        <v>0</v>
      </c>
      <c r="VG23" s="90">
        <f t="shared" si="344"/>
        <v>0</v>
      </c>
      <c r="VH23" s="90">
        <f t="shared" si="345"/>
        <v>0</v>
      </c>
      <c r="VI23" s="90">
        <f t="shared" si="346"/>
        <v>0</v>
      </c>
      <c r="VJ23" s="90">
        <f t="shared" si="347"/>
        <v>0</v>
      </c>
      <c r="VK23" s="90">
        <f t="shared" si="348"/>
        <v>4.62</v>
      </c>
      <c r="VL23" s="90">
        <f t="shared" si="349"/>
        <v>3.64</v>
      </c>
      <c r="VM23" s="90">
        <f t="shared" si="350"/>
        <v>5.59</v>
      </c>
      <c r="VN23" s="90">
        <f t="shared" si="351"/>
        <v>0</v>
      </c>
      <c r="VO23" s="90">
        <f t="shared" si="352"/>
        <v>5.59</v>
      </c>
      <c r="VP23" s="97">
        <v>0</v>
      </c>
      <c r="VQ23" s="97">
        <v>5.59</v>
      </c>
      <c r="VR23" s="90">
        <f t="shared" si="353"/>
        <v>0.44</v>
      </c>
      <c r="VS23" s="90">
        <f t="shared" si="354"/>
        <v>0.15</v>
      </c>
      <c r="VT23" s="90">
        <v>0.11989898989898991</v>
      </c>
      <c r="VU23" s="90">
        <f t="shared" si="355"/>
        <v>0.15410000000000001</v>
      </c>
      <c r="VV23" s="90">
        <v>0.38175323599898991</v>
      </c>
      <c r="VW23" s="90">
        <f t="shared" si="356"/>
        <v>0.59</v>
      </c>
      <c r="VX23" s="90">
        <f t="shared" si="357"/>
        <v>15.41</v>
      </c>
      <c r="VY23" s="90">
        <f t="shared" si="358"/>
        <v>15.41</v>
      </c>
      <c r="VZ23" s="90">
        <f t="shared" si="359"/>
        <v>0</v>
      </c>
      <c r="WA23" s="90"/>
      <c r="WB23" s="90">
        <f t="shared" si="360"/>
        <v>15.41</v>
      </c>
      <c r="WC23" s="90">
        <f t="shared" si="361"/>
        <v>0</v>
      </c>
      <c r="WD23" s="90"/>
      <c r="WE23" s="90">
        <v>15.41</v>
      </c>
      <c r="WF23" s="90"/>
      <c r="WG23" s="90">
        <f t="shared" si="362"/>
        <v>2554.9780000000001</v>
      </c>
      <c r="WH23" s="90">
        <f t="shared" si="363"/>
        <v>2554.9780000000001</v>
      </c>
      <c r="WI23" s="90">
        <f t="shared" si="364"/>
        <v>2556.58</v>
      </c>
      <c r="WJ23" s="90">
        <f t="shared" si="365"/>
        <v>1629.76</v>
      </c>
      <c r="WK23" s="97">
        <v>926.82</v>
      </c>
      <c r="WL23" s="97">
        <v>5.59</v>
      </c>
      <c r="WM23" s="90">
        <f t="shared" si="366"/>
        <v>926.82</v>
      </c>
      <c r="WN23" s="90">
        <f t="shared" si="367"/>
        <v>5.59</v>
      </c>
      <c r="WO23" s="90"/>
      <c r="WP23" s="97">
        <v>15.41</v>
      </c>
      <c r="WQ23" s="90">
        <f t="shared" si="368"/>
        <v>15.41</v>
      </c>
      <c r="WR23" s="91">
        <f t="shared" si="369"/>
        <v>105.69272976680386</v>
      </c>
      <c r="WS23" s="91">
        <f t="shared" si="370"/>
        <v>136.61347517730499</v>
      </c>
      <c r="WT23" s="90">
        <f t="shared" si="371"/>
        <v>2554.98</v>
      </c>
      <c r="WU23" s="90">
        <f t="shared" si="372"/>
        <v>2556.58</v>
      </c>
      <c r="WV23" s="90">
        <f t="shared" si="373"/>
        <v>-1.5999999999999091</v>
      </c>
      <c r="WW23" s="90">
        <v>3.3</v>
      </c>
      <c r="WX23" s="90"/>
      <c r="WY23" s="90"/>
      <c r="WZ23" s="90">
        <f t="shared" si="374"/>
        <v>5.5620434343434342</v>
      </c>
      <c r="XA23" s="90">
        <v>0</v>
      </c>
      <c r="XB23" s="90">
        <f t="shared" si="375"/>
        <v>5.5620434343434342</v>
      </c>
      <c r="XC23" s="90">
        <f t="shared" si="376"/>
        <v>0.46229999999999999</v>
      </c>
      <c r="XD23" s="90">
        <f t="shared" si="377"/>
        <v>0.15565656565656566</v>
      </c>
      <c r="XE23" s="90"/>
      <c r="XF23" s="90">
        <f t="shared" si="378"/>
        <v>15.41</v>
      </c>
      <c r="XG23" s="90">
        <v>5.4075386007237611</v>
      </c>
      <c r="XH23" s="20">
        <v>14.579999999999998</v>
      </c>
      <c r="XI23" s="20">
        <v>0</v>
      </c>
      <c r="XJ23" s="20"/>
      <c r="XK23" s="20"/>
      <c r="XL23" s="20"/>
      <c r="XM23" s="20">
        <f t="shared" si="379"/>
        <v>14.579999999999998</v>
      </c>
      <c r="XN23" s="91">
        <f t="shared" si="380"/>
        <v>105.69272976680386</v>
      </c>
      <c r="XO23" s="20">
        <f t="shared" si="381"/>
        <v>14.579999999999998</v>
      </c>
      <c r="XP23" s="90">
        <f t="shared" si="382"/>
        <v>11.279999999999998</v>
      </c>
      <c r="XQ23" s="91">
        <f t="shared" si="383"/>
        <v>105.69272976680386</v>
      </c>
      <c r="XR23" s="102"/>
      <c r="XS23" s="90">
        <f t="shared" si="384"/>
        <v>3.64</v>
      </c>
      <c r="XT23" s="90">
        <f t="shared" si="385"/>
        <v>5.59</v>
      </c>
      <c r="XU23" s="90">
        <f t="shared" si="386"/>
        <v>3.92</v>
      </c>
      <c r="XV23" s="90">
        <f t="shared" si="387"/>
        <v>0</v>
      </c>
      <c r="XW23" s="90">
        <f t="shared" si="388"/>
        <v>0</v>
      </c>
      <c r="XX23" s="90">
        <f t="shared" si="389"/>
        <v>0</v>
      </c>
      <c r="XY23" s="90">
        <f t="shared" si="390"/>
        <v>1.67</v>
      </c>
      <c r="XZ23" s="90">
        <f t="shared" si="391"/>
        <v>0</v>
      </c>
      <c r="YA23" s="90">
        <f t="shared" si="392"/>
        <v>0</v>
      </c>
      <c r="YB23" s="90">
        <f t="shared" si="393"/>
        <v>0</v>
      </c>
      <c r="YC23" s="90">
        <f t="shared" si="393"/>
        <v>0</v>
      </c>
      <c r="YD23" s="90">
        <f t="shared" si="394"/>
        <v>1.67</v>
      </c>
      <c r="YE23" s="90">
        <f t="shared" si="395"/>
        <v>5.59</v>
      </c>
      <c r="YF23" s="90">
        <f t="shared" si="396"/>
        <v>0.59</v>
      </c>
      <c r="YG23" s="90">
        <f t="shared" si="397"/>
        <v>15.41</v>
      </c>
      <c r="YI23" s="103" t="s">
        <v>482</v>
      </c>
      <c r="YK23" s="90">
        <f t="shared" si="398"/>
        <v>1.07</v>
      </c>
      <c r="YL23" s="90">
        <f t="shared" si="399"/>
        <v>0</v>
      </c>
      <c r="YM23" s="90">
        <f t="shared" si="399"/>
        <v>1.67</v>
      </c>
      <c r="YN23" s="90">
        <f t="shared" si="400"/>
        <v>3.64</v>
      </c>
      <c r="YO23" s="90">
        <f t="shared" si="401"/>
        <v>9.0299999999999994</v>
      </c>
      <c r="YP23" s="90">
        <f t="shared" si="402"/>
        <v>0</v>
      </c>
      <c r="YQ23" s="90">
        <f t="shared" si="403"/>
        <v>15.41</v>
      </c>
      <c r="YR23" s="90">
        <f t="shared" si="404"/>
        <v>0</v>
      </c>
      <c r="YS23" s="104">
        <f t="shared" si="405"/>
        <v>15.41</v>
      </c>
      <c r="YT23" s="104">
        <f t="shared" si="406"/>
        <v>0</v>
      </c>
      <c r="YY23" s="90">
        <f t="shared" si="407"/>
        <v>7.32</v>
      </c>
      <c r="YZ23" s="90">
        <f t="shared" si="408"/>
        <v>4.18</v>
      </c>
      <c r="ZA23" s="90">
        <f t="shared" si="409"/>
        <v>0</v>
      </c>
      <c r="ZB23" s="90">
        <f t="shared" si="410"/>
        <v>3.14</v>
      </c>
      <c r="ZC23" s="90">
        <f t="shared" si="411"/>
        <v>0</v>
      </c>
      <c r="ZD23" s="90">
        <f t="shared" si="412"/>
        <v>0</v>
      </c>
      <c r="ZE23" s="90">
        <f t="shared" si="413"/>
        <v>0</v>
      </c>
      <c r="ZF23" s="90">
        <f t="shared" si="414"/>
        <v>0</v>
      </c>
      <c r="ZG23" s="90">
        <f t="shared" si="415"/>
        <v>0</v>
      </c>
      <c r="ZH23" s="90">
        <f t="shared" si="416"/>
        <v>0</v>
      </c>
      <c r="ZI23" s="90">
        <f t="shared" si="417"/>
        <v>0</v>
      </c>
      <c r="ZJ23" s="90">
        <f t="shared" si="418"/>
        <v>0</v>
      </c>
      <c r="ZK23" s="90">
        <f t="shared" si="419"/>
        <v>0</v>
      </c>
      <c r="ZL23" s="90">
        <f t="shared" si="420"/>
        <v>7.0000000000000007E-2</v>
      </c>
      <c r="ZM23" s="90">
        <f t="shared" si="421"/>
        <v>4.1100000000000003</v>
      </c>
      <c r="ZN23" s="90">
        <f t="shared" si="422"/>
        <v>8.25</v>
      </c>
      <c r="ZO23" s="90">
        <f t="shared" si="423"/>
        <v>7.26</v>
      </c>
      <c r="ZP23" s="90">
        <f t="shared" si="424"/>
        <v>5.1100000000000003</v>
      </c>
      <c r="ZQ23" s="90">
        <f t="shared" si="425"/>
        <v>0</v>
      </c>
      <c r="ZR23" s="90">
        <f t="shared" si="426"/>
        <v>5.1100000000000003</v>
      </c>
      <c r="ZS23" s="97">
        <v>227</v>
      </c>
      <c r="ZT23" s="97">
        <v>230.38</v>
      </c>
      <c r="ZU23" s="90">
        <f t="shared" si="427"/>
        <v>0.51</v>
      </c>
      <c r="ZV23" s="90">
        <f t="shared" si="428"/>
        <v>0.18</v>
      </c>
      <c r="ZW23" s="90">
        <v>0.11989898989898991</v>
      </c>
      <c r="ZX23" s="90">
        <f t="shared" si="429"/>
        <v>0.17230000000000001</v>
      </c>
      <c r="ZY23" s="90">
        <v>0.38175323599898991</v>
      </c>
      <c r="ZZ23" s="90">
        <f t="shared" si="430"/>
        <v>0.69</v>
      </c>
      <c r="AAA23" s="90">
        <f t="shared" si="431"/>
        <v>17.23</v>
      </c>
      <c r="AAB23" s="90">
        <f t="shared" si="432"/>
        <v>17.23</v>
      </c>
      <c r="AAC23" s="90">
        <f t="shared" si="433"/>
        <v>0</v>
      </c>
      <c r="AAD23" s="90"/>
      <c r="AAE23" s="90">
        <f t="shared" si="434"/>
        <v>17.23</v>
      </c>
      <c r="AAF23" s="90">
        <v>15.41</v>
      </c>
      <c r="AAG23" s="90">
        <f t="shared" si="435"/>
        <v>111.8105126541207</v>
      </c>
      <c r="AAH23" s="90">
        <f t="shared" si="436"/>
        <v>0</v>
      </c>
      <c r="AAI23" s="90">
        <v>0</v>
      </c>
      <c r="AAJ23" s="90"/>
      <c r="AAK23" s="1">
        <v>16.82</v>
      </c>
      <c r="AAL23" s="104">
        <f t="shared" si="437"/>
        <v>0.41000000000000014</v>
      </c>
      <c r="AAM23" s="103" t="s">
        <v>483</v>
      </c>
      <c r="AAN23" s="105">
        <v>7.67</v>
      </c>
      <c r="AAO23" s="90">
        <f t="shared" si="438"/>
        <v>7.78</v>
      </c>
      <c r="AAP23" s="90">
        <v>4.21</v>
      </c>
      <c r="AAQ23" s="90">
        <f t="shared" si="439"/>
        <v>4.18</v>
      </c>
      <c r="AAR23" s="90">
        <v>0</v>
      </c>
      <c r="AAS23" s="90">
        <f t="shared" si="440"/>
        <v>0</v>
      </c>
      <c r="AAT23" s="90"/>
      <c r="AAU23" s="90">
        <v>3.46</v>
      </c>
      <c r="AAV23" s="90">
        <f t="shared" si="442"/>
        <v>3.14</v>
      </c>
      <c r="AAW23" s="90">
        <f t="shared" si="443"/>
        <v>90.751445086705203</v>
      </c>
      <c r="AAX23" s="90">
        <f t="shared" si="444"/>
        <v>0.46</v>
      </c>
      <c r="AAY23" s="90">
        <f t="shared" si="445"/>
        <v>0</v>
      </c>
      <c r="AAZ23" s="90">
        <f t="shared" si="446"/>
        <v>0</v>
      </c>
      <c r="ABA23" s="90">
        <f t="shared" si="447"/>
        <v>0</v>
      </c>
      <c r="ABB23" s="90">
        <f t="shared" si="448"/>
        <v>0</v>
      </c>
      <c r="ABC23" s="90">
        <v>0</v>
      </c>
      <c r="ABD23" s="90">
        <f t="shared" si="449"/>
        <v>0</v>
      </c>
      <c r="ABE23" s="90"/>
      <c r="ABF23" s="90">
        <v>0</v>
      </c>
      <c r="ABG23" s="90">
        <f t="shared" si="450"/>
        <v>0</v>
      </c>
      <c r="ABH23" s="90"/>
      <c r="ABI23" s="90">
        <f t="shared" si="451"/>
        <v>0</v>
      </c>
      <c r="ABJ23" s="90">
        <f t="shared" si="452"/>
        <v>0</v>
      </c>
      <c r="ABK23" s="90">
        <v>0</v>
      </c>
      <c r="ABL23" s="90">
        <f t="shared" si="453"/>
        <v>0</v>
      </c>
      <c r="ABM23" s="90">
        <f t="shared" si="454"/>
        <v>0</v>
      </c>
      <c r="ABN23" s="90">
        <f t="shared" si="455"/>
        <v>0.02</v>
      </c>
      <c r="ABO23" s="90">
        <v>3.91</v>
      </c>
      <c r="ABP23" s="90">
        <f t="shared" si="456"/>
        <v>4.1100000000000003</v>
      </c>
      <c r="ABQ23" s="90">
        <f t="shared" si="457"/>
        <v>105.1150895140665</v>
      </c>
      <c r="ABR23" s="90">
        <f t="shared" si="458"/>
        <v>8.25</v>
      </c>
      <c r="ABS23" s="90">
        <f t="shared" si="459"/>
        <v>7.26</v>
      </c>
      <c r="ABT23" s="90">
        <v>4.59</v>
      </c>
      <c r="ABU23" s="90">
        <f t="shared" si="460"/>
        <v>5.1100000000000003</v>
      </c>
      <c r="ABV23" s="90">
        <f t="shared" si="461"/>
        <v>111.32897603485841</v>
      </c>
      <c r="ABW23" s="90">
        <f t="shared" si="462"/>
        <v>0.02</v>
      </c>
      <c r="ABX23" s="90">
        <f t="shared" si="463"/>
        <v>5.13</v>
      </c>
      <c r="ABY23" s="97">
        <v>227</v>
      </c>
      <c r="ABZ23" s="97">
        <v>230.38</v>
      </c>
      <c r="ACA23" s="90">
        <f t="shared" si="464"/>
        <v>0.51</v>
      </c>
      <c r="ACB23" s="90">
        <f t="shared" si="465"/>
        <v>0.18</v>
      </c>
      <c r="ACC23" s="90">
        <v>0.11989898989898991</v>
      </c>
      <c r="ACD23" s="90">
        <f t="shared" si="466"/>
        <v>0.17250000000000001</v>
      </c>
      <c r="ACE23" s="90">
        <v>0.38175323599898991</v>
      </c>
      <c r="ACF23" s="90">
        <v>0.66</v>
      </c>
      <c r="ACG23" s="90">
        <f t="shared" si="467"/>
        <v>0.69</v>
      </c>
      <c r="ACH23" s="90">
        <f t="shared" si="468"/>
        <v>104.54545454545455</v>
      </c>
      <c r="ACI23" s="90">
        <f t="shared" si="469"/>
        <v>17.690000000000001</v>
      </c>
      <c r="ACJ23" s="90">
        <f t="shared" si="470"/>
        <v>17.25</v>
      </c>
      <c r="ACK23" s="90">
        <f t="shared" si="471"/>
        <v>-0.44000000000000128</v>
      </c>
      <c r="ACL23" s="90"/>
      <c r="ACM23" s="90">
        <f t="shared" si="472"/>
        <v>17.690000000000001</v>
      </c>
      <c r="ACN23" s="90">
        <f t="shared" si="473"/>
        <v>0</v>
      </c>
      <c r="ACO23" s="90">
        <f t="shared" si="474"/>
        <v>17.690000000000001</v>
      </c>
      <c r="ACP23" s="90">
        <v>16.830000000000002</v>
      </c>
      <c r="ACQ23" s="90">
        <f t="shared" si="475"/>
        <v>105.10992275698156</v>
      </c>
      <c r="ACR23" s="90">
        <f t="shared" si="476"/>
        <v>0</v>
      </c>
      <c r="ACS23" s="90">
        <v>0</v>
      </c>
      <c r="ACT23" s="90"/>
      <c r="ACU23" s="90">
        <f t="shared" si="477"/>
        <v>17.688330000000001</v>
      </c>
      <c r="ACV23" s="90">
        <f t="shared" si="478"/>
        <v>-1.6700000000007265E-3</v>
      </c>
      <c r="ACX23" s="106" t="s">
        <v>483</v>
      </c>
      <c r="ACY23" s="107"/>
      <c r="ACZ23" s="107"/>
      <c r="ADB23" s="90">
        <f t="shared" si="479"/>
        <v>4.1100000000000003</v>
      </c>
      <c r="ADC23" s="90">
        <f t="shared" si="480"/>
        <v>7.7799999999999994</v>
      </c>
      <c r="ADD23" s="90">
        <f t="shared" si="481"/>
        <v>4.18</v>
      </c>
      <c r="ADE23" s="90">
        <f t="shared" si="517"/>
        <v>0.46</v>
      </c>
      <c r="ADF23" s="90">
        <f t="shared" si="483"/>
        <v>0</v>
      </c>
      <c r="ADG23" s="90">
        <f t="shared" si="484"/>
        <v>0.46</v>
      </c>
      <c r="ADH23" s="90">
        <f t="shared" si="484"/>
        <v>0</v>
      </c>
      <c r="ADI23" s="90">
        <f t="shared" si="484"/>
        <v>0</v>
      </c>
      <c r="ADJ23" s="90">
        <f t="shared" si="485"/>
        <v>3.14</v>
      </c>
      <c r="ADK23" s="90">
        <f t="shared" si="486"/>
        <v>0</v>
      </c>
      <c r="ADL23" s="90">
        <f t="shared" si="487"/>
        <v>0</v>
      </c>
      <c r="ADM23" s="90">
        <f t="shared" si="488"/>
        <v>0</v>
      </c>
      <c r="ADN23" s="90">
        <f t="shared" si="488"/>
        <v>0</v>
      </c>
      <c r="ADO23" s="90">
        <f t="shared" si="489"/>
        <v>3.14</v>
      </c>
      <c r="ADP23" s="90">
        <f t="shared" si="490"/>
        <v>5.1100000000000003</v>
      </c>
      <c r="ADQ23" s="90">
        <f t="shared" si="491"/>
        <v>0.69</v>
      </c>
      <c r="ADR23" s="90">
        <f t="shared" si="492"/>
        <v>17.690000000000001</v>
      </c>
      <c r="ADU23" s="90">
        <f t="shared" si="493"/>
        <v>1.1499999999999999</v>
      </c>
      <c r="ADV23" s="90">
        <f t="shared" si="494"/>
        <v>0</v>
      </c>
      <c r="ADW23" s="90">
        <f t="shared" si="495"/>
        <v>3.14</v>
      </c>
      <c r="ADX23" s="90">
        <f t="shared" si="496"/>
        <v>4.1100000000000003</v>
      </c>
      <c r="ADY23" s="90">
        <f t="shared" si="497"/>
        <v>8.83</v>
      </c>
      <c r="ADZ23" s="90">
        <f t="shared" si="498"/>
        <v>0</v>
      </c>
      <c r="AEA23" s="90">
        <f t="shared" si="499"/>
        <v>17.690000000000001</v>
      </c>
      <c r="AEB23" s="90">
        <f t="shared" si="500"/>
        <v>0</v>
      </c>
      <c r="AEC23" s="104">
        <f t="shared" si="501"/>
        <v>17.23</v>
      </c>
      <c r="AED23" s="104">
        <f t="shared" si="502"/>
        <v>0.46000000000000085</v>
      </c>
      <c r="AEG23" s="1">
        <v>7.67</v>
      </c>
      <c r="AEH23" s="1">
        <v>4.21</v>
      </c>
      <c r="AEI23" s="1">
        <v>0</v>
      </c>
      <c r="AEJ23" s="1">
        <v>3.46</v>
      </c>
      <c r="AEK23" s="1">
        <v>0</v>
      </c>
      <c r="AEL23" s="1">
        <v>0</v>
      </c>
      <c r="AEM23" s="1">
        <v>0</v>
      </c>
      <c r="AEN23" s="1">
        <v>0</v>
      </c>
      <c r="AEO23" s="1">
        <v>0</v>
      </c>
      <c r="AEP23" s="1">
        <v>0</v>
      </c>
      <c r="AEQ23" s="1">
        <v>0</v>
      </c>
      <c r="AER23" s="1">
        <v>0</v>
      </c>
      <c r="AES23" s="1">
        <v>0</v>
      </c>
      <c r="AET23" s="1">
        <v>0</v>
      </c>
      <c r="AEU23" s="1">
        <v>0</v>
      </c>
      <c r="AEV23" s="1">
        <v>0.02</v>
      </c>
      <c r="AEW23" s="1">
        <v>3.91</v>
      </c>
      <c r="AEX23" s="1">
        <v>8.0500000000000007</v>
      </c>
      <c r="AEY23" s="1">
        <v>7.26</v>
      </c>
      <c r="AEZ23" s="1">
        <v>4.59</v>
      </c>
      <c r="AFA23" s="1">
        <v>0.02</v>
      </c>
      <c r="AFB23" s="1">
        <v>4.6099999999999994</v>
      </c>
      <c r="AFC23" s="1">
        <v>227</v>
      </c>
      <c r="AFD23" s="1">
        <v>230.38</v>
      </c>
      <c r="AFE23" s="1">
        <v>0.49</v>
      </c>
      <c r="AFF23" s="1">
        <v>0.17</v>
      </c>
      <c r="AFG23" s="1">
        <v>0.11989898989898991</v>
      </c>
      <c r="AFH23" s="1">
        <v>0.16850000000000001</v>
      </c>
      <c r="AFI23" s="1">
        <v>0.38175323599898991</v>
      </c>
      <c r="AFJ23" s="1">
        <v>0.66</v>
      </c>
      <c r="AFK23" s="1">
        <v>16.830000000000002</v>
      </c>
      <c r="AFL23" s="1">
        <v>16.850000000000001</v>
      </c>
      <c r="AFM23" s="1">
        <v>1.9999999999999574E-2</v>
      </c>
      <c r="AFO23" s="1">
        <v>16.830000000000002</v>
      </c>
      <c r="AFP23" s="1">
        <v>0</v>
      </c>
      <c r="AFQ23" s="1">
        <v>16.82</v>
      </c>
      <c r="AFX23" s="1">
        <v>17.14</v>
      </c>
    </row>
    <row r="24" spans="1:856" s="1" customFormat="1" ht="63.75" customHeight="1">
      <c r="A24" s="88">
        <v>16</v>
      </c>
      <c r="B24" s="20"/>
      <c r="C24" s="89" t="s">
        <v>484</v>
      </c>
      <c r="D24" s="20"/>
      <c r="E24" s="20" t="s">
        <v>437</v>
      </c>
      <c r="F24" s="20" t="s">
        <v>438</v>
      </c>
      <c r="G24" s="20">
        <v>0.8</v>
      </c>
      <c r="H24" s="20">
        <f>721-2.4</f>
        <v>718.6</v>
      </c>
      <c r="I24" s="20">
        <f>721-2.4-0.3-0.2-1+1</f>
        <v>718.1</v>
      </c>
      <c r="J24" s="20">
        <f t="shared" si="0"/>
        <v>574.48</v>
      </c>
      <c r="K24" s="20">
        <v>16</v>
      </c>
      <c r="L24" s="20"/>
      <c r="M24" s="20"/>
      <c r="N24" s="20"/>
      <c r="O24" s="90">
        <f t="shared" si="1"/>
        <v>0</v>
      </c>
      <c r="P24" s="20"/>
      <c r="Q24" s="20"/>
      <c r="R24" s="90">
        <f t="shared" si="2"/>
        <v>0</v>
      </c>
      <c r="S24" s="110">
        <f>53.9+5</f>
        <v>58.9</v>
      </c>
      <c r="T24" s="20">
        <v>2.6</v>
      </c>
      <c r="U24" s="20">
        <v>3.13</v>
      </c>
      <c r="V24" s="91">
        <f t="shared" si="3"/>
        <v>479.33</v>
      </c>
      <c r="W24" s="20">
        <v>2.1000000000000001E-2</v>
      </c>
      <c r="X24" s="20">
        <f t="shared" si="4"/>
        <v>33.42</v>
      </c>
      <c r="Y24" s="91">
        <f t="shared" si="5"/>
        <v>41.34</v>
      </c>
      <c r="Z24" s="20"/>
      <c r="AA24" s="20"/>
      <c r="AB24" s="20"/>
      <c r="AC24" s="91">
        <f t="shared" si="6"/>
        <v>520.66999999999996</v>
      </c>
      <c r="AD24" s="90">
        <f t="shared" si="7"/>
        <v>0.73</v>
      </c>
      <c r="AE24" s="92">
        <f t="shared" si="8"/>
        <v>6248.0399999999991</v>
      </c>
      <c r="AF24" s="20">
        <v>38</v>
      </c>
      <c r="AG24" s="20">
        <v>37</v>
      </c>
      <c r="AH24" s="20">
        <v>37</v>
      </c>
      <c r="AI24" s="20">
        <v>40</v>
      </c>
      <c r="AJ24" s="20">
        <v>1.6</v>
      </c>
      <c r="AK24" s="90">
        <f t="shared" si="9"/>
        <v>4.93</v>
      </c>
      <c r="AL24" s="90">
        <v>391.01</v>
      </c>
      <c r="AM24" s="90">
        <f t="shared" si="10"/>
        <v>1927.68</v>
      </c>
      <c r="AN24" s="20">
        <v>38</v>
      </c>
      <c r="AO24" s="20">
        <v>38</v>
      </c>
      <c r="AP24" s="20">
        <v>38</v>
      </c>
      <c r="AQ24" s="20">
        <v>38</v>
      </c>
      <c r="AR24" s="20">
        <v>38</v>
      </c>
      <c r="AS24" s="20">
        <v>40</v>
      </c>
      <c r="AT24" s="20">
        <f t="shared" si="11"/>
        <v>1</v>
      </c>
      <c r="AU24" s="20">
        <v>1.6</v>
      </c>
      <c r="AV24" s="90">
        <f t="shared" si="12"/>
        <v>5.07</v>
      </c>
      <c r="AW24" s="90">
        <f t="shared" si="523"/>
        <v>188.88</v>
      </c>
      <c r="AX24" s="90">
        <v>1007.36</v>
      </c>
      <c r="AY24" s="90">
        <f t="shared" si="14"/>
        <v>1.4</v>
      </c>
      <c r="AZ24" s="90">
        <f t="shared" si="15"/>
        <v>1981.12</v>
      </c>
      <c r="BA24" s="90">
        <f t="shared" si="16"/>
        <v>-973.75999999999988</v>
      </c>
      <c r="BB24" s="90">
        <v>1007.36</v>
      </c>
      <c r="BC24" s="90">
        <v>1.4</v>
      </c>
      <c r="BD24" s="92">
        <f t="shared" si="17"/>
        <v>12088.32</v>
      </c>
      <c r="BE24" s="90"/>
      <c r="BF24" s="90">
        <f t="shared" si="18"/>
        <v>0</v>
      </c>
      <c r="BG24" s="90">
        <v>391.01</v>
      </c>
      <c r="BH24" s="90">
        <f t="shared" si="19"/>
        <v>1982.42</v>
      </c>
      <c r="BI24" s="90">
        <f t="shared" si="20"/>
        <v>2.76</v>
      </c>
      <c r="BJ24" s="90">
        <f t="shared" si="21"/>
        <v>197.14285714285714</v>
      </c>
      <c r="BK24" s="90">
        <f t="shared" si="22"/>
        <v>1982.42</v>
      </c>
      <c r="BL24" s="90">
        <f t="shared" si="23"/>
        <v>2.76</v>
      </c>
      <c r="BM24" s="90"/>
      <c r="BN24" s="90">
        <f t="shared" si="24"/>
        <v>0</v>
      </c>
      <c r="BO24" s="90">
        <f t="shared" si="25"/>
        <v>1982.42</v>
      </c>
      <c r="BP24" s="90">
        <f t="shared" si="26"/>
        <v>2.7606461495613424</v>
      </c>
      <c r="BQ24" s="90"/>
      <c r="BR24" s="90">
        <f t="shared" si="27"/>
        <v>0</v>
      </c>
      <c r="BS24" s="90">
        <f t="shared" si="28"/>
        <v>1982.42</v>
      </c>
      <c r="BT24" s="90">
        <f t="shared" si="29"/>
        <v>2.7606461495613424</v>
      </c>
      <c r="BU24" s="90"/>
      <c r="BV24" s="93">
        <v>1.4356370000000001</v>
      </c>
      <c r="BW24" s="90">
        <f t="shared" si="30"/>
        <v>1030.9309297</v>
      </c>
      <c r="BX24" s="90">
        <f t="shared" si="31"/>
        <v>1092.7867854820001</v>
      </c>
      <c r="BY24" s="90"/>
      <c r="BZ24" s="90"/>
      <c r="CA24" s="90">
        <v>0.2651</v>
      </c>
      <c r="CB24" s="90">
        <f t="shared" si="518"/>
        <v>190.36831000000001</v>
      </c>
      <c r="CC24" s="90">
        <v>0.71072749999999996</v>
      </c>
      <c r="CD24" s="90">
        <f t="shared" si="33"/>
        <v>135.29999304552499</v>
      </c>
      <c r="CE24" s="90">
        <f t="shared" si="34"/>
        <v>204.58728088422151</v>
      </c>
      <c r="CF24" s="90">
        <f>I24*0.278131608</f>
        <v>199.72630770479998</v>
      </c>
      <c r="CG24" s="90">
        <f>I24*0.278131608</f>
        <v>199.72630770479998</v>
      </c>
      <c r="CH24" s="90">
        <f t="shared" si="35"/>
        <v>209.31</v>
      </c>
      <c r="CI24" s="90">
        <f t="shared" si="524"/>
        <v>219.6691850702795</v>
      </c>
      <c r="CJ24" s="90">
        <f t="shared" si="36"/>
        <v>220.82</v>
      </c>
      <c r="CK24" s="90">
        <f t="shared" si="37"/>
        <v>233.54293456132342</v>
      </c>
      <c r="CL24" s="90">
        <f t="shared" si="38"/>
        <v>233.54293456132342</v>
      </c>
      <c r="CM24" s="94">
        <v>0.14899999999999999</v>
      </c>
      <c r="CN24" s="90">
        <f t="shared" si="39"/>
        <v>153.60870852529999</v>
      </c>
      <c r="CO24" s="90">
        <f t="shared" si="40"/>
        <v>162.825231036818</v>
      </c>
      <c r="CP24" s="90"/>
      <c r="CQ24" s="90">
        <v>3.9537797999999999E-2</v>
      </c>
      <c r="CR24" s="90">
        <f t="shared" si="519"/>
        <v>28.392092743799999</v>
      </c>
      <c r="CS24" s="90">
        <v>0.71072749999999996</v>
      </c>
      <c r="CT24" s="90">
        <f t="shared" si="42"/>
        <v>20.179041095569112</v>
      </c>
      <c r="CU24" s="90">
        <f t="shared" si="43"/>
        <v>30.512752112295782</v>
      </c>
      <c r="CV24" s="90">
        <f>I24*0.085940403</f>
        <v>61.713803394300001</v>
      </c>
      <c r="CW24" s="90">
        <f t="shared" si="44"/>
        <v>64.680000000000007</v>
      </c>
      <c r="CX24" s="90">
        <f t="shared" si="525"/>
        <v>67.881147056259508</v>
      </c>
      <c r="CY24" s="90">
        <f t="shared" si="45"/>
        <v>68.239999999999995</v>
      </c>
      <c r="CZ24" s="90">
        <f t="shared" si="46"/>
        <v>72.1683484182619</v>
      </c>
      <c r="DA24" s="90">
        <f t="shared" si="47"/>
        <v>72.1683484182619</v>
      </c>
      <c r="DB24" s="93">
        <v>1.4169099999999999</v>
      </c>
      <c r="DC24" s="90">
        <f t="shared" si="48"/>
        <v>1017.483071</v>
      </c>
      <c r="DD24" s="90">
        <f t="shared" si="49"/>
        <v>1078.5320552600001</v>
      </c>
      <c r="DE24" s="90"/>
      <c r="DF24" s="90"/>
      <c r="DG24" s="90">
        <v>0.16261999999999999</v>
      </c>
      <c r="DH24" s="90">
        <f t="shared" si="520"/>
        <v>116.77742199999999</v>
      </c>
      <c r="DI24" s="90">
        <v>0.71072749999999996</v>
      </c>
      <c r="DJ24" s="90">
        <f t="shared" si="51"/>
        <v>82.996925194504982</v>
      </c>
      <c r="DK24" s="90">
        <f t="shared" si="52"/>
        <v>125.49974959408564</v>
      </c>
      <c r="DL24" s="90">
        <f>I24*0.138256145</f>
        <v>99.281737724500005</v>
      </c>
      <c r="DM24" s="90">
        <f t="shared" si="53"/>
        <v>104.05</v>
      </c>
      <c r="DN24" s="90">
        <f t="shared" si="526"/>
        <v>109.1996498330829</v>
      </c>
      <c r="DO24" s="90">
        <f t="shared" si="54"/>
        <v>109.77</v>
      </c>
      <c r="DP24" s="90">
        <f t="shared" si="55"/>
        <v>116.09642320532082</v>
      </c>
      <c r="DQ24" s="90">
        <f t="shared" si="56"/>
        <v>116.09642320532082</v>
      </c>
      <c r="DR24" s="93">
        <v>5.6880149999999997E-2</v>
      </c>
      <c r="DS24" s="90">
        <f t="shared" si="57"/>
        <v>40.845635715</v>
      </c>
      <c r="DT24" s="90">
        <f t="shared" si="58"/>
        <v>43.296373857900001</v>
      </c>
      <c r="DU24" s="90"/>
      <c r="DV24" s="90">
        <v>6.1532000000000002E-3</v>
      </c>
      <c r="DW24" s="90">
        <f t="shared" si="521"/>
        <v>4.4186129200000002</v>
      </c>
      <c r="DX24" s="90">
        <v>0.71072749999999996</v>
      </c>
      <c r="DY24" s="90">
        <f t="shared" si="60"/>
        <v>3.1404297140992998</v>
      </c>
      <c r="DZ24" s="90">
        <f t="shared" si="61"/>
        <v>4.7486475169249038</v>
      </c>
      <c r="EA24" s="90">
        <f t="shared" si="62"/>
        <v>4.9800000000000004</v>
      </c>
      <c r="EB24" s="90">
        <f t="shared" si="527"/>
        <v>5.2264705061869572</v>
      </c>
      <c r="EC24" s="90">
        <f t="shared" si="63"/>
        <v>5.25</v>
      </c>
      <c r="ED24" s="90">
        <f t="shared" si="64"/>
        <v>5.5565611490869555</v>
      </c>
      <c r="EE24" s="90">
        <f t="shared" si="65"/>
        <v>5.5565611490869555</v>
      </c>
      <c r="EF24" s="94">
        <v>0.85293354333000004</v>
      </c>
      <c r="EG24" s="90">
        <f t="shared" si="66"/>
        <v>489.99326197221842</v>
      </c>
      <c r="EH24" s="90">
        <f t="shared" si="67"/>
        <v>519.39285769055152</v>
      </c>
      <c r="EI24" s="90"/>
      <c r="EJ24" s="90">
        <v>0.58975</v>
      </c>
      <c r="EK24" s="90">
        <f t="shared" si="68"/>
        <v>338.79957999999999</v>
      </c>
      <c r="EL24" s="90">
        <v>0.71072749999999996</v>
      </c>
      <c r="EM24" s="90">
        <f t="shared" si="69"/>
        <v>240.79417849444997</v>
      </c>
      <c r="EN24" s="90">
        <f t="shared" si="70"/>
        <v>364.10516454611735</v>
      </c>
      <c r="EO24" s="90">
        <f>J24*0.618109554</f>
        <v>355.09157658192004</v>
      </c>
      <c r="EP24" s="90">
        <f t="shared" si="71"/>
        <v>372.14</v>
      </c>
      <c r="EQ24" s="90">
        <f t="shared" si="528"/>
        <v>390.5579787494807</v>
      </c>
      <c r="ER24" s="90">
        <f t="shared" si="72"/>
        <v>392.61</v>
      </c>
      <c r="ES24" s="90">
        <f t="shared" si="73"/>
        <v>415.22463173116853</v>
      </c>
      <c r="ET24" s="90">
        <f t="shared" si="74"/>
        <v>415.22463173116853</v>
      </c>
      <c r="EU24" s="94">
        <v>0.14899999999999999</v>
      </c>
      <c r="EV24" s="90">
        <f t="shared" si="75"/>
        <v>73.008996033860541</v>
      </c>
      <c r="EW24" s="90">
        <f t="shared" si="76"/>
        <v>77.389535795892172</v>
      </c>
      <c r="EX24" s="90"/>
      <c r="EY24" s="90">
        <v>8.7870000000000004E-2</v>
      </c>
      <c r="EZ24" s="90">
        <f t="shared" si="77"/>
        <v>50.479557600000007</v>
      </c>
      <c r="FA24" s="90">
        <v>0.71072749999999996</v>
      </c>
      <c r="FB24" s="90">
        <f t="shared" si="78"/>
        <v>35.877209774154004</v>
      </c>
      <c r="FC24" s="90">
        <f t="shared" si="79"/>
        <v>54.24997169761312</v>
      </c>
      <c r="FD24" s="90">
        <f>J24*0.191129516</f>
        <v>109.80008435168</v>
      </c>
      <c r="FE24" s="90">
        <f t="shared" si="80"/>
        <v>115.07</v>
      </c>
      <c r="FF24" s="90">
        <f t="shared" si="529"/>
        <v>120.76505243914319</v>
      </c>
      <c r="FG24" s="90">
        <f t="shared" si="81"/>
        <v>121.4</v>
      </c>
      <c r="FH24" s="90">
        <f t="shared" si="82"/>
        <v>128.39226735450521</v>
      </c>
      <c r="FI24" s="90">
        <f t="shared" si="83"/>
        <v>128.39226735450521</v>
      </c>
      <c r="FJ24" s="93">
        <v>0.49981642240000002</v>
      </c>
      <c r="FK24" s="90">
        <f t="shared" si="84"/>
        <v>287.13453834035204</v>
      </c>
      <c r="FL24" s="90">
        <f t="shared" si="85"/>
        <v>304.3626106407732</v>
      </c>
      <c r="FM24" s="90"/>
      <c r="FN24" s="90">
        <v>0.35812500000000003</v>
      </c>
      <c r="FO24" s="90">
        <f t="shared" si="86"/>
        <v>205.73565000000002</v>
      </c>
      <c r="FP24" s="90">
        <v>0.71072749999999996</v>
      </c>
      <c r="FQ24" s="90">
        <f t="shared" si="87"/>
        <v>146.22198418537499</v>
      </c>
      <c r="FR24" s="90">
        <f t="shared" si="88"/>
        <v>221.1024367156902</v>
      </c>
      <c r="FS24" s="90">
        <f>J24*0.303398097</f>
        <v>174.29613876456</v>
      </c>
      <c r="FT24" s="90">
        <f t="shared" si="89"/>
        <v>182.66</v>
      </c>
      <c r="FU24" s="90">
        <f>J24*0.303655211</f>
        <v>174.44384561528</v>
      </c>
      <c r="FV24" s="90">
        <f t="shared" si="90"/>
        <v>182.82</v>
      </c>
      <c r="FW24" s="90">
        <f t="shared" si="530"/>
        <v>191.86814014881514</v>
      </c>
      <c r="FX24" s="90">
        <f t="shared" si="91"/>
        <v>192.88</v>
      </c>
      <c r="FY24" s="90">
        <f t="shared" si="92"/>
        <v>203.98604603937292</v>
      </c>
      <c r="FZ24" s="90">
        <f t="shared" si="93"/>
        <v>203.98604603937292</v>
      </c>
      <c r="GA24" s="94">
        <v>1.352261642E-2</v>
      </c>
      <c r="GB24" s="90">
        <f t="shared" si="94"/>
        <v>7.7684726809616</v>
      </c>
      <c r="GC24" s="90">
        <f t="shared" si="95"/>
        <v>8.2345810418192968</v>
      </c>
      <c r="GD24" s="90"/>
      <c r="GE24" s="90">
        <v>1.0749999999999999E-2</v>
      </c>
      <c r="GF24" s="90">
        <f t="shared" si="96"/>
        <v>6.1756599999999997</v>
      </c>
      <c r="GG24" s="90">
        <v>0.71072749999999996</v>
      </c>
      <c r="GH24" s="90">
        <f t="shared" si="97"/>
        <v>4.3892113926499992</v>
      </c>
      <c r="GI24" s="90">
        <f t="shared" si="98"/>
        <v>6.6369317827397403</v>
      </c>
      <c r="GJ24" s="90">
        <f t="shared" si="99"/>
        <v>6.96</v>
      </c>
      <c r="GK24" s="90">
        <f t="shared" si="531"/>
        <v>7.3044648038275541</v>
      </c>
      <c r="GL24" s="90">
        <f t="shared" si="100"/>
        <v>7.34</v>
      </c>
      <c r="GM24" s="90">
        <f t="shared" si="101"/>
        <v>7.7657963047480338</v>
      </c>
      <c r="GN24" s="90">
        <f t="shared" si="102"/>
        <v>7.7657963047480338</v>
      </c>
      <c r="GO24" s="90">
        <v>3198</v>
      </c>
      <c r="GP24" s="90">
        <f t="shared" si="103"/>
        <v>266.5</v>
      </c>
      <c r="GQ24" s="90">
        <f>2116.8+138.6</f>
        <v>2255.4</v>
      </c>
      <c r="GR24" s="90">
        <f t="shared" si="104"/>
        <v>187.95000000000002</v>
      </c>
      <c r="GS24" s="90">
        <f t="shared" si="105"/>
        <v>454.45000000000005</v>
      </c>
      <c r="GT24" s="90">
        <f t="shared" si="106"/>
        <v>0.63</v>
      </c>
      <c r="GU24" s="90">
        <v>3043.8</v>
      </c>
      <c r="GV24" s="90">
        <f>1672+110.2</f>
        <v>1782.2</v>
      </c>
      <c r="GW24" s="90">
        <f t="shared" si="107"/>
        <v>402.16666666666669</v>
      </c>
      <c r="GX24" s="90">
        <f t="shared" si="108"/>
        <v>0.56000000000000005</v>
      </c>
      <c r="GY24" s="90">
        <v>5401.7</v>
      </c>
      <c r="GZ24" s="90">
        <f>1778.4+117.8</f>
        <v>1896.2</v>
      </c>
      <c r="HA24" s="90">
        <f t="shared" si="109"/>
        <v>608.1583333333333</v>
      </c>
      <c r="HB24" s="90">
        <f t="shared" si="110"/>
        <v>0.85</v>
      </c>
      <c r="HC24" s="90">
        <v>5401.7</v>
      </c>
      <c r="HD24" s="90">
        <f>1778.4+117.8</f>
        <v>1896.2</v>
      </c>
      <c r="HE24" s="90">
        <f t="shared" si="111"/>
        <v>608.1583333333333</v>
      </c>
      <c r="HF24" s="90">
        <f t="shared" si="112"/>
        <v>0.85</v>
      </c>
      <c r="HG24" s="90"/>
      <c r="HH24" s="90"/>
      <c r="HI24" s="90">
        <v>0.96</v>
      </c>
      <c r="HJ24" s="90">
        <f t="shared" si="113"/>
        <v>689.37599999999998</v>
      </c>
      <c r="HK24" s="90">
        <f t="shared" si="114"/>
        <v>1.006085503411781</v>
      </c>
      <c r="HL24" s="90">
        <f t="shared" si="115"/>
        <v>722.47</v>
      </c>
      <c r="HM24" s="90">
        <v>1.07</v>
      </c>
      <c r="HN24" s="90">
        <f t="shared" si="116"/>
        <v>768.36700000000008</v>
      </c>
      <c r="HO24" s="90">
        <v>1.1499999999999999</v>
      </c>
      <c r="HP24" s="90">
        <f t="shared" si="117"/>
        <v>825.82</v>
      </c>
      <c r="HQ24" s="90">
        <v>1.1499999999999999</v>
      </c>
      <c r="HR24" s="90">
        <f t="shared" si="118"/>
        <v>825.82</v>
      </c>
      <c r="HS24" s="90">
        <v>0.31919999999999998</v>
      </c>
      <c r="HT24" s="90">
        <f t="shared" si="119"/>
        <v>229.21752000000001</v>
      </c>
      <c r="HU24" s="90" t="e">
        <f>HT24*#REF!</f>
        <v>#REF!</v>
      </c>
      <c r="HV24" s="90">
        <v>2.83</v>
      </c>
      <c r="HW24" s="90">
        <v>3.1</v>
      </c>
      <c r="HX24" s="90">
        <f t="shared" si="120"/>
        <v>2226.11</v>
      </c>
      <c r="HY24" s="90">
        <v>1.06</v>
      </c>
      <c r="HZ24" s="90">
        <f t="shared" si="121"/>
        <v>2359.6766000000002</v>
      </c>
      <c r="IA24" s="90">
        <f t="shared" si="122"/>
        <v>3.29</v>
      </c>
      <c r="IB24" s="90">
        <f t="shared" si="123"/>
        <v>3.45</v>
      </c>
      <c r="IC24" s="90">
        <f t="shared" si="124"/>
        <v>2477.4450000000002</v>
      </c>
      <c r="ID24" s="90">
        <f t="shared" si="125"/>
        <v>3.64</v>
      </c>
      <c r="IE24" s="90">
        <f t="shared" si="126"/>
        <v>2613.88</v>
      </c>
      <c r="IF24" s="90">
        <f t="shared" si="127"/>
        <v>3.64</v>
      </c>
      <c r="IG24" s="92">
        <f t="shared" si="128"/>
        <v>31366.560000000001</v>
      </c>
      <c r="IH24" s="90">
        <v>3.91</v>
      </c>
      <c r="II24" s="90">
        <f t="shared" si="129"/>
        <v>4.1100000000000003</v>
      </c>
      <c r="IJ24" s="90">
        <f t="shared" si="130"/>
        <v>2951.39</v>
      </c>
      <c r="IK24" s="90">
        <f t="shared" si="131"/>
        <v>4.1100000000000003</v>
      </c>
      <c r="IL24" s="90">
        <f t="shared" si="132"/>
        <v>2951.39</v>
      </c>
      <c r="IM24" s="90">
        <f t="shared" si="133"/>
        <v>4.1100000000000003</v>
      </c>
      <c r="IN24" s="90">
        <f t="shared" si="134"/>
        <v>2951.39</v>
      </c>
      <c r="IO24" s="90">
        <f t="shared" si="135"/>
        <v>4.1100000000000003</v>
      </c>
      <c r="IP24" s="93">
        <v>0.37052404126999999</v>
      </c>
      <c r="IQ24" s="90">
        <f t="shared" si="136"/>
        <v>212.8586512287896</v>
      </c>
      <c r="IR24" s="90">
        <f t="shared" si="137"/>
        <v>225.63017030251697</v>
      </c>
      <c r="IS24" s="90">
        <v>108693.96</v>
      </c>
      <c r="IT24" s="90">
        <v>3053.33</v>
      </c>
      <c r="IU24" s="94"/>
      <c r="IV24" s="94"/>
      <c r="IW24" s="94">
        <v>1.6976249999999999</v>
      </c>
      <c r="IX24" s="90">
        <f t="shared" si="138"/>
        <v>975.25161000000003</v>
      </c>
      <c r="IY24" s="93">
        <v>0.56339614052999998</v>
      </c>
      <c r="IZ24" s="90">
        <f t="shared" si="139"/>
        <v>404.57476851459302</v>
      </c>
      <c r="JA24" s="90">
        <f t="shared" si="140"/>
        <v>423.99</v>
      </c>
      <c r="JB24" s="90">
        <f t="shared" si="532"/>
        <v>444.97414255385701</v>
      </c>
      <c r="JC24" s="90">
        <f t="shared" si="141"/>
        <v>447.31</v>
      </c>
      <c r="JD24" s="90">
        <f t="shared" si="142"/>
        <v>473.07758265087921</v>
      </c>
      <c r="JE24" s="90">
        <f t="shared" si="143"/>
        <v>473.07758265087921</v>
      </c>
      <c r="JF24" s="93">
        <v>4.2278943710000003E-2</v>
      </c>
      <c r="JG24" s="90">
        <f t="shared" si="144"/>
        <v>24.288407582520801</v>
      </c>
      <c r="JH24" s="90">
        <f t="shared" si="145"/>
        <v>25.74571203747205</v>
      </c>
      <c r="JI24" s="20">
        <v>462.98</v>
      </c>
      <c r="JJ24" s="20"/>
      <c r="JK24" s="20">
        <v>6.0624999999999998E-2</v>
      </c>
      <c r="JL24" s="90">
        <f t="shared" si="146"/>
        <v>34.827849999999998</v>
      </c>
      <c r="JM24" s="93">
        <v>6.7347080040000007E-2</v>
      </c>
      <c r="JN24" s="90">
        <f t="shared" si="147"/>
        <v>48.36193817672401</v>
      </c>
      <c r="JO24" s="90">
        <f t="shared" si="148"/>
        <v>50.68</v>
      </c>
      <c r="JP24" s="90">
        <f t="shared" si="533"/>
        <v>53.188258083043166</v>
      </c>
      <c r="JQ24" s="90">
        <f t="shared" si="149"/>
        <v>53.47</v>
      </c>
      <c r="JR24" s="90">
        <f t="shared" si="150"/>
        <v>56.547493782274479</v>
      </c>
      <c r="JS24" s="90">
        <f t="shared" si="151"/>
        <v>56.547493782274479</v>
      </c>
      <c r="JT24" s="93">
        <v>7.3220517000000002E-3</v>
      </c>
      <c r="JU24" s="90">
        <f t="shared" si="152"/>
        <v>4.2063722606159999</v>
      </c>
      <c r="JV24" s="90">
        <f t="shared" si="153"/>
        <v>4.41</v>
      </c>
      <c r="JW24" s="90">
        <f t="shared" si="534"/>
        <v>4.6282600265631482</v>
      </c>
      <c r="JX24" s="90">
        <f t="shared" si="154"/>
        <v>4.6500000000000004</v>
      </c>
      <c r="JY24" s="90">
        <f t="shared" si="155"/>
        <v>4.9205692103360388</v>
      </c>
      <c r="JZ24" s="90">
        <f t="shared" si="156"/>
        <v>4.9205692103360388</v>
      </c>
      <c r="KA24" s="90">
        <v>8.3090999999999998E-3</v>
      </c>
      <c r="KB24" s="90">
        <f t="shared" si="157"/>
        <v>4.7734117679999999</v>
      </c>
      <c r="KC24" s="90" t="e">
        <f>KB24*#REF!</f>
        <v>#REF!</v>
      </c>
      <c r="KD24" s="90">
        <v>34406.519999999997</v>
      </c>
      <c r="KE24" s="90">
        <v>40292.97</v>
      </c>
      <c r="KF24" s="90"/>
      <c r="KG24" s="90">
        <f t="shared" si="522"/>
        <v>840.95635818443725</v>
      </c>
      <c r="KH24" s="90" t="e">
        <f>KG24/(BW24+#REF!)*(CB24+#REF!)</f>
        <v>#REF!</v>
      </c>
      <c r="KI24" s="90">
        <v>0.8</v>
      </c>
      <c r="KJ24" s="94"/>
      <c r="KK24" s="90">
        <f t="shared" si="159"/>
        <v>0</v>
      </c>
      <c r="KL24" s="93">
        <v>1.2690177</v>
      </c>
      <c r="KM24" s="90">
        <f t="shared" si="160"/>
        <v>911.28161037000007</v>
      </c>
      <c r="KN24" s="90">
        <f t="shared" si="161"/>
        <v>965.95850699220011</v>
      </c>
      <c r="KO24" s="90" t="e">
        <f>BW24+CN24+DC24+DS24+EG24+EV24+FK24+GB24+#REF!+#REF!+HJ24+HX24+IQ24+JG24+JU24+KK24+KM24</f>
        <v>#REF!</v>
      </c>
      <c r="KP24" s="90"/>
      <c r="KQ24" s="90">
        <v>0.50815001599999998</v>
      </c>
      <c r="KR24" s="90">
        <f t="shared" si="514"/>
        <v>364.90252648960001</v>
      </c>
      <c r="KS24" s="90">
        <v>0.71072749999999996</v>
      </c>
      <c r="KT24" s="90">
        <f t="shared" si="163"/>
        <v>259.34626039563716</v>
      </c>
      <c r="KU24" s="90">
        <f t="shared" si="164"/>
        <v>392.15778971977994</v>
      </c>
      <c r="KV24" s="90">
        <f t="shared" si="165"/>
        <v>410.98</v>
      </c>
      <c r="KW24" s="90">
        <f t="shared" si="535"/>
        <v>431.32025072946095</v>
      </c>
      <c r="KX24" s="90">
        <f t="shared" si="166"/>
        <v>433.58</v>
      </c>
      <c r="KY24" s="90">
        <f t="shared" si="167"/>
        <v>458.56134559272232</v>
      </c>
      <c r="KZ24" s="90">
        <f t="shared" si="168"/>
        <v>458.56134559272232</v>
      </c>
      <c r="LA24" s="90">
        <f t="shared" si="169"/>
        <v>2814.95</v>
      </c>
      <c r="LB24" s="90">
        <f t="shared" si="170"/>
        <v>3.92</v>
      </c>
      <c r="LC24" s="92">
        <f t="shared" si="171"/>
        <v>33779.399999999994</v>
      </c>
      <c r="LD24" s="92">
        <v>4.21</v>
      </c>
      <c r="LE24" s="92">
        <v>3023.2</v>
      </c>
      <c r="LF24" s="90">
        <f t="shared" si="172"/>
        <v>4.18</v>
      </c>
      <c r="LG24" s="90">
        <f t="shared" si="173"/>
        <v>3001.66</v>
      </c>
      <c r="LH24" s="90">
        <f t="shared" si="174"/>
        <v>3026.0712499999995</v>
      </c>
      <c r="LI24" s="90">
        <f t="shared" si="175"/>
        <v>4.21</v>
      </c>
      <c r="LJ24" s="90">
        <f t="shared" si="176"/>
        <v>3001.66</v>
      </c>
      <c r="LK24" s="90">
        <f t="shared" si="177"/>
        <v>4.18</v>
      </c>
      <c r="LL24" s="90">
        <f t="shared" si="178"/>
        <v>3001.66</v>
      </c>
      <c r="LM24" s="90">
        <f t="shared" si="179"/>
        <v>4.18</v>
      </c>
      <c r="LN24" s="95">
        <v>0.46</v>
      </c>
      <c r="LO24" s="95">
        <f t="shared" si="180"/>
        <v>330.33</v>
      </c>
      <c r="LP24" s="95"/>
      <c r="LQ24" s="95">
        <f t="shared" si="181"/>
        <v>0</v>
      </c>
      <c r="LR24" s="90"/>
      <c r="LS24" s="90"/>
      <c r="LT24" s="90">
        <f t="shared" si="182"/>
        <v>0</v>
      </c>
      <c r="LU24" s="90"/>
      <c r="LV24" s="90">
        <f t="shared" si="183"/>
        <v>0</v>
      </c>
      <c r="LW24" s="90">
        <f t="shared" si="184"/>
        <v>0</v>
      </c>
      <c r="LX24" s="90"/>
      <c r="LY24" s="90"/>
      <c r="LZ24" s="90">
        <f t="shared" si="185"/>
        <v>0</v>
      </c>
      <c r="MA24" s="90"/>
      <c r="MB24" s="90">
        <f t="shared" si="186"/>
        <v>0</v>
      </c>
      <c r="MC24" s="90">
        <f t="shared" si="187"/>
        <v>0</v>
      </c>
      <c r="MD24" s="90"/>
      <c r="ME24" s="90"/>
      <c r="MF24" s="90">
        <f t="shared" si="188"/>
        <v>0</v>
      </c>
      <c r="MG24" s="90"/>
      <c r="MH24" s="90">
        <f t="shared" si="189"/>
        <v>0</v>
      </c>
      <c r="MI24" s="90">
        <f t="shared" si="190"/>
        <v>0</v>
      </c>
      <c r="MJ24" s="90"/>
      <c r="MK24" s="90"/>
      <c r="ML24" s="90">
        <f t="shared" si="191"/>
        <v>0</v>
      </c>
      <c r="MM24" s="90"/>
      <c r="MN24" s="90">
        <f t="shared" si="192"/>
        <v>0</v>
      </c>
      <c r="MO24" s="90">
        <f t="shared" si="193"/>
        <v>0</v>
      </c>
      <c r="MP24" s="90">
        <f t="shared" si="194"/>
        <v>0</v>
      </c>
      <c r="MQ24" s="90">
        <f t="shared" si="195"/>
        <v>0</v>
      </c>
      <c r="MR24" s="90">
        <f t="shared" si="196"/>
        <v>0</v>
      </c>
      <c r="MS24" s="90">
        <f t="shared" si="197"/>
        <v>0</v>
      </c>
      <c r="MT24" s="95"/>
      <c r="MU24" s="95">
        <f t="shared" si="198"/>
        <v>0</v>
      </c>
      <c r="MV24" s="92">
        <f t="shared" si="199"/>
        <v>0</v>
      </c>
      <c r="MW24" s="95"/>
      <c r="MX24" s="95">
        <f t="shared" si="200"/>
        <v>0</v>
      </c>
      <c r="MY24" s="95"/>
      <c r="MZ24" s="95">
        <f t="shared" si="201"/>
        <v>0</v>
      </c>
      <c r="NA24" s="95"/>
      <c r="NB24" s="95">
        <f t="shared" si="202"/>
        <v>0</v>
      </c>
      <c r="NC24" s="92">
        <f t="shared" si="203"/>
        <v>0</v>
      </c>
      <c r="ND24" s="95"/>
      <c r="NE24" s="95">
        <f t="shared" si="204"/>
        <v>0</v>
      </c>
      <c r="NF24" s="95"/>
      <c r="NG24" s="95">
        <f t="shared" si="205"/>
        <v>0</v>
      </c>
      <c r="NH24" s="95"/>
      <c r="NI24" s="95"/>
      <c r="NJ24" s="95">
        <f t="shared" si="206"/>
        <v>0</v>
      </c>
      <c r="NK24" s="92">
        <f t="shared" si="207"/>
        <v>0</v>
      </c>
      <c r="NL24" s="95"/>
      <c r="NM24" s="95">
        <f t="shared" si="208"/>
        <v>0</v>
      </c>
      <c r="NN24" s="95"/>
      <c r="NO24" s="95">
        <f t="shared" si="209"/>
        <v>0</v>
      </c>
      <c r="NP24" s="95"/>
      <c r="NQ24" s="95">
        <f t="shared" si="210"/>
        <v>0</v>
      </c>
      <c r="NR24" s="92">
        <f t="shared" si="211"/>
        <v>0</v>
      </c>
      <c r="NS24" s="95"/>
      <c r="NT24" s="95">
        <f t="shared" si="212"/>
        <v>0</v>
      </c>
      <c r="NU24" s="95"/>
      <c r="NV24" s="95">
        <f t="shared" si="213"/>
        <v>0</v>
      </c>
      <c r="NW24" s="95"/>
      <c r="NX24" s="95">
        <f t="shared" si="214"/>
        <v>0</v>
      </c>
      <c r="NY24" s="92">
        <f t="shared" si="215"/>
        <v>0</v>
      </c>
      <c r="NZ24" s="95"/>
      <c r="OA24" s="95">
        <f t="shared" si="216"/>
        <v>0</v>
      </c>
      <c r="OB24" s="95"/>
      <c r="OC24" s="95">
        <f t="shared" si="217"/>
        <v>0</v>
      </c>
      <c r="OD24" s="90">
        <v>1342.85</v>
      </c>
      <c r="OE24" s="90">
        <f t="shared" si="218"/>
        <v>1.87</v>
      </c>
      <c r="OF24" s="92">
        <f t="shared" si="219"/>
        <v>16114.199999999999</v>
      </c>
      <c r="OG24" s="96">
        <v>1007.36</v>
      </c>
      <c r="OH24" s="96">
        <v>1.4</v>
      </c>
      <c r="OI24" s="90">
        <v>2348.19</v>
      </c>
      <c r="OJ24" s="90">
        <f t="shared" si="220"/>
        <v>3.27</v>
      </c>
      <c r="OK24" s="90">
        <f t="shared" si="221"/>
        <v>2350.21</v>
      </c>
      <c r="OL24" s="90">
        <f t="shared" si="222"/>
        <v>3.27</v>
      </c>
      <c r="OM24" s="90">
        <f t="shared" si="223"/>
        <v>0</v>
      </c>
      <c r="ON24" s="90">
        <v>1342.85</v>
      </c>
      <c r="OO24" s="90">
        <f t="shared" si="224"/>
        <v>1.87</v>
      </c>
      <c r="OP24" s="90">
        <v>1340.83</v>
      </c>
      <c r="OQ24" s="90">
        <v>1.87</v>
      </c>
      <c r="OR24" s="90">
        <f t="shared" si="225"/>
        <v>0</v>
      </c>
      <c r="OS24" s="90">
        <f t="shared" si="226"/>
        <v>1.87</v>
      </c>
      <c r="OT24" s="90">
        <v>1342.85</v>
      </c>
      <c r="OU24" s="90">
        <f t="shared" si="227"/>
        <v>1.87</v>
      </c>
      <c r="OV24" s="97">
        <v>1342.85</v>
      </c>
      <c r="OW24" s="90">
        <f t="shared" si="228"/>
        <v>2872.4</v>
      </c>
      <c r="OX24" s="90">
        <f t="shared" si="229"/>
        <v>4</v>
      </c>
      <c r="OY24" s="90">
        <f>OU24-1+1+2.13</f>
        <v>4</v>
      </c>
      <c r="OZ24" s="90"/>
      <c r="PA24" s="90"/>
      <c r="PB24" s="95">
        <f t="shared" si="230"/>
        <v>0</v>
      </c>
      <c r="PC24" s="92">
        <f t="shared" si="231"/>
        <v>0</v>
      </c>
      <c r="PD24" s="90"/>
      <c r="PE24" s="95">
        <f t="shared" si="232"/>
        <v>0</v>
      </c>
      <c r="PF24" s="90">
        <f t="shared" si="233"/>
        <v>8233.49</v>
      </c>
      <c r="PG24" s="90">
        <f t="shared" si="234"/>
        <v>11.47</v>
      </c>
      <c r="PH24" s="90">
        <f t="shared" si="235"/>
        <v>11746.358333333334</v>
      </c>
      <c r="PI24" s="90">
        <f t="shared" si="236"/>
        <v>16.36</v>
      </c>
      <c r="PJ24" s="90">
        <f t="shared" si="237"/>
        <v>11746.358333333334</v>
      </c>
      <c r="PK24" s="90">
        <f t="shared" si="238"/>
        <v>16.36</v>
      </c>
      <c r="PL24" s="90"/>
      <c r="PM24" s="90">
        <f t="shared" si="239"/>
        <v>247</v>
      </c>
      <c r="PN24" s="90">
        <f t="shared" si="240"/>
        <v>0.34</v>
      </c>
      <c r="PO24" s="92">
        <f t="shared" si="241"/>
        <v>2964</v>
      </c>
      <c r="PP24" s="90">
        <f t="shared" si="242"/>
        <v>352.39</v>
      </c>
      <c r="PQ24" s="90">
        <f t="shared" si="243"/>
        <v>0.49</v>
      </c>
      <c r="PR24" s="90">
        <f t="shared" si="244"/>
        <v>352.39</v>
      </c>
      <c r="PS24" s="90">
        <f t="shared" si="245"/>
        <v>0.49</v>
      </c>
      <c r="PT24" s="90">
        <f t="shared" si="246"/>
        <v>8480.49</v>
      </c>
      <c r="PU24" s="90">
        <f t="shared" si="247"/>
        <v>11.81</v>
      </c>
      <c r="PV24" s="90">
        <f t="shared" si="248"/>
        <v>12098.748333333333</v>
      </c>
      <c r="PW24" s="90">
        <f t="shared" si="249"/>
        <v>16.850000000000001</v>
      </c>
      <c r="PX24" s="90">
        <f t="shared" si="250"/>
        <v>12098.748333333333</v>
      </c>
      <c r="PY24" s="90">
        <f t="shared" si="251"/>
        <v>16.850000000000001</v>
      </c>
      <c r="PZ24" s="90">
        <f t="shared" si="252"/>
        <v>85.66</v>
      </c>
      <c r="QA24" s="90">
        <f t="shared" si="253"/>
        <v>0.12</v>
      </c>
      <c r="QB24" s="92">
        <f t="shared" si="254"/>
        <v>1027.92</v>
      </c>
      <c r="QC24" s="90">
        <f t="shared" si="255"/>
        <v>122.21</v>
      </c>
      <c r="QD24" s="90">
        <f t="shared" si="256"/>
        <v>0.17</v>
      </c>
      <c r="QE24" s="90">
        <f t="shared" si="257"/>
        <v>122.21</v>
      </c>
      <c r="QF24" s="90">
        <f t="shared" si="258"/>
        <v>0.17</v>
      </c>
      <c r="QG24" s="90">
        <f t="shared" si="259"/>
        <v>8566.15</v>
      </c>
      <c r="QH24" s="90">
        <f t="shared" si="260"/>
        <v>11.93</v>
      </c>
      <c r="QI24" s="92">
        <f t="shared" si="261"/>
        <v>102793.79999999999</v>
      </c>
      <c r="QJ24" s="90">
        <f t="shared" si="262"/>
        <v>443.25025072946096</v>
      </c>
      <c r="QK24" s="98">
        <f t="shared" si="263"/>
        <v>0.25169999999999998</v>
      </c>
      <c r="QL24" s="90">
        <f t="shared" si="264"/>
        <v>180.74576999999999</v>
      </c>
      <c r="QM24" s="90">
        <f t="shared" si="265"/>
        <v>0.1128</v>
      </c>
      <c r="QN24" s="90">
        <f t="shared" si="266"/>
        <v>81.001680000000007</v>
      </c>
      <c r="QO24" s="90">
        <v>0.21869999999999998</v>
      </c>
      <c r="QP24" s="90">
        <v>0.14579999999999999</v>
      </c>
      <c r="QQ24" s="97">
        <f t="shared" si="267"/>
        <v>261.74745000000001</v>
      </c>
      <c r="QR24" s="97">
        <v>261.74744999999996</v>
      </c>
      <c r="QS24" s="97">
        <f t="shared" si="268"/>
        <v>0</v>
      </c>
      <c r="QT24" s="90"/>
      <c r="QU24" s="90">
        <f t="shared" si="269"/>
        <v>0.1128</v>
      </c>
      <c r="QV24" s="90">
        <f t="shared" si="270"/>
        <v>81.001680000000007</v>
      </c>
      <c r="QW24" s="90">
        <f t="shared" si="271"/>
        <v>261.74745000000001</v>
      </c>
      <c r="QX24" s="90">
        <f t="shared" si="272"/>
        <v>0.36449999999999999</v>
      </c>
      <c r="QY24" s="90"/>
      <c r="QZ24" s="90"/>
      <c r="RA24" s="90"/>
      <c r="RB24" s="90">
        <v>2672.54</v>
      </c>
      <c r="RC24" s="97">
        <f t="shared" si="273"/>
        <v>8566.15</v>
      </c>
      <c r="RD24" s="97">
        <f t="shared" si="274"/>
        <v>11.93</v>
      </c>
      <c r="RE24" s="90">
        <f t="shared" si="275"/>
        <v>12220.958333333332</v>
      </c>
      <c r="RF24" s="90">
        <f t="shared" si="276"/>
        <v>17.02</v>
      </c>
      <c r="RG24" s="90">
        <f t="shared" si="277"/>
        <v>142.78523489932883</v>
      </c>
      <c r="RH24" s="90">
        <f t="shared" si="278"/>
        <v>12220.958333333332</v>
      </c>
      <c r="RI24" s="90">
        <f t="shared" si="279"/>
        <v>17.02</v>
      </c>
      <c r="RJ24" s="90">
        <v>14.55</v>
      </c>
      <c r="RK24" s="90">
        <v>0</v>
      </c>
      <c r="RL24" s="90">
        <f t="shared" si="280"/>
        <v>2.4699999999999989</v>
      </c>
      <c r="RM24" s="90">
        <f t="shared" si="281"/>
        <v>122.97687861271676</v>
      </c>
      <c r="RN24" s="90">
        <f t="shared" si="282"/>
        <v>7144.81</v>
      </c>
      <c r="RO24" s="90"/>
      <c r="RP24" s="90"/>
      <c r="RQ24" s="99">
        <v>627</v>
      </c>
      <c r="RR24" s="90">
        <f t="shared" si="283"/>
        <v>7223.2999999999993</v>
      </c>
      <c r="RS24" s="90">
        <f t="shared" si="284"/>
        <v>10.058905444924104</v>
      </c>
      <c r="RT24" s="90">
        <v>11.28</v>
      </c>
      <c r="RU24" s="90">
        <f t="shared" si="285"/>
        <v>8100.1679999999997</v>
      </c>
      <c r="RV24" s="90">
        <f t="shared" si="286"/>
        <v>0.61725421352104293</v>
      </c>
      <c r="RW24" s="90">
        <v>10.43</v>
      </c>
      <c r="RX24" s="90">
        <f t="shared" si="287"/>
        <v>10.951499999999999</v>
      </c>
      <c r="RY24" s="90">
        <f t="shared" si="288"/>
        <v>7864.2721499999998</v>
      </c>
      <c r="RZ24" s="90">
        <f t="shared" si="289"/>
        <v>2074.7643122438972</v>
      </c>
      <c r="SA24" s="90">
        <f t="shared" si="290"/>
        <v>928.24523329196415</v>
      </c>
      <c r="SB24" s="90">
        <f t="shared" si="291"/>
        <v>1403.6007245694677</v>
      </c>
      <c r="SC24" s="90">
        <f t="shared" si="292"/>
        <v>2550.1198035214011</v>
      </c>
      <c r="SD24" s="90">
        <f t="shared" si="293"/>
        <v>2550.1198035214006</v>
      </c>
      <c r="SE24" s="90">
        <f t="shared" si="294"/>
        <v>2588.5487556761773</v>
      </c>
      <c r="SF24" s="90">
        <f t="shared" si="295"/>
        <v>2549.9720964931375</v>
      </c>
      <c r="SG24" s="90">
        <f t="shared" si="296"/>
        <v>0.14770702826353954</v>
      </c>
      <c r="SH24" s="90">
        <f t="shared" si="297"/>
        <v>2550.1198033438573</v>
      </c>
      <c r="SI24" s="90">
        <f t="shared" si="298"/>
        <v>3.5512042940000006</v>
      </c>
      <c r="SJ24" s="90">
        <f t="shared" si="299"/>
        <v>3.5509986025527609</v>
      </c>
      <c r="SK24" s="90"/>
      <c r="SL24" s="90"/>
      <c r="SM24" s="90"/>
      <c r="SN24" s="90">
        <f t="shared" si="300"/>
        <v>2730.1899999999996</v>
      </c>
      <c r="SO24" s="90" t="e">
        <f>RU24-#REF!-#REF!-HZ24-LT24-LZ24-MF24-ML24-QL24-QN24-SD24</f>
        <v>#REF!</v>
      </c>
      <c r="SP24" s="90">
        <f t="shared" si="301"/>
        <v>2672.54</v>
      </c>
      <c r="SQ24" s="90">
        <f t="shared" si="302"/>
        <v>2814.95</v>
      </c>
      <c r="SR24" s="90">
        <f t="shared" si="303"/>
        <v>3.7216822169614256</v>
      </c>
      <c r="SS24" s="90">
        <f t="shared" si="304"/>
        <v>3.9199972148725801</v>
      </c>
      <c r="ST24" s="90">
        <f t="shared" si="305"/>
        <v>2825.6869999999999</v>
      </c>
      <c r="SU24" s="90">
        <v>3.7216822169614256</v>
      </c>
      <c r="SV24" s="90">
        <f t="shared" si="306"/>
        <v>3.93</v>
      </c>
      <c r="SW24" s="90">
        <v>3.92</v>
      </c>
      <c r="SX24" s="90">
        <f t="shared" si="307"/>
        <v>2814.95</v>
      </c>
      <c r="SY24" s="90">
        <v>3.7216822169614256</v>
      </c>
      <c r="SZ24" s="90">
        <f t="shared" si="308"/>
        <v>2672.54</v>
      </c>
      <c r="TA24" s="90">
        <f t="shared" si="309"/>
        <v>0</v>
      </c>
      <c r="TB24" s="90">
        <v>0</v>
      </c>
      <c r="TC24" s="90">
        <f t="shared" si="310"/>
        <v>1493.1255500000007</v>
      </c>
      <c r="TD24" s="90" t="e">
        <f>#REF!+#REF!</f>
        <v>#REF!</v>
      </c>
      <c r="TE24" s="90" t="e">
        <f t="shared" si="311"/>
        <v>#REF!</v>
      </c>
      <c r="TF24" s="90">
        <v>1469.7288833333332</v>
      </c>
      <c r="TG24" s="90">
        <f t="shared" si="312"/>
        <v>18.433266445831752</v>
      </c>
      <c r="TH24" s="95"/>
      <c r="TI24" s="95"/>
      <c r="TJ24" s="95"/>
      <c r="TK24" s="95"/>
      <c r="TL24" s="95"/>
      <c r="TM24" s="95">
        <f t="shared" si="313"/>
        <v>0</v>
      </c>
      <c r="TN24" s="95">
        <f t="shared" si="314"/>
        <v>8100.1679999999997</v>
      </c>
      <c r="TO24" s="95">
        <f t="shared" si="315"/>
        <v>18.433266445831752</v>
      </c>
      <c r="TP24" s="95"/>
      <c r="TQ24" s="95">
        <f t="shared" si="316"/>
        <v>11.28</v>
      </c>
      <c r="TR24" s="95"/>
      <c r="TS24" s="95"/>
      <c r="TT24" s="95"/>
      <c r="TU24" s="95"/>
      <c r="TV24" s="95"/>
      <c r="TW24" s="95"/>
      <c r="TX24" s="95"/>
      <c r="TY24" s="95"/>
      <c r="TZ24" s="95">
        <f t="shared" si="317"/>
        <v>3.2313829787234045</v>
      </c>
      <c r="UA24" s="95">
        <f t="shared" si="318"/>
        <v>0.49632000000000004</v>
      </c>
      <c r="UB24" s="90">
        <v>0</v>
      </c>
      <c r="UC24" s="90">
        <f t="shared" si="319"/>
        <v>0</v>
      </c>
      <c r="UD24" s="90">
        <f t="shared" si="320"/>
        <v>0</v>
      </c>
      <c r="UE24" s="90">
        <f t="shared" si="321"/>
        <v>0</v>
      </c>
      <c r="UF24" s="90">
        <f t="shared" si="322"/>
        <v>8100.1679999999997</v>
      </c>
      <c r="UG24" s="91">
        <f t="shared" si="323"/>
        <v>0</v>
      </c>
      <c r="UH24" s="95">
        <f t="shared" si="324"/>
        <v>18.433266445831752</v>
      </c>
      <c r="UI24" s="95">
        <f t="shared" si="325"/>
        <v>8100.1679999999997</v>
      </c>
      <c r="UJ24" s="101">
        <f t="shared" si="326"/>
        <v>0</v>
      </c>
      <c r="UK24" s="101">
        <f t="shared" si="327"/>
        <v>18.433266445831752</v>
      </c>
      <c r="UL24" s="90" t="e">
        <f>(#REF!+#REF!+HZ24+LT24+LZ24+MF24+ML24+QL24+QN24+SN24+TC24+TM24+UC24)/I24</f>
        <v>#REF!</v>
      </c>
      <c r="UN24" s="90" t="e">
        <f>#REF!/I24</f>
        <v>#REF!</v>
      </c>
      <c r="UO24" s="90" t="e">
        <f>#REF!/I24</f>
        <v>#REF!</v>
      </c>
      <c r="UP24" s="90">
        <v>1.1499999999999999</v>
      </c>
      <c r="UQ24" s="90" t="e">
        <f t="shared" si="328"/>
        <v>#REF!</v>
      </c>
      <c r="UR24" s="90">
        <f t="shared" si="329"/>
        <v>7223.2999999999993</v>
      </c>
      <c r="US24" s="90">
        <f t="shared" si="330"/>
        <v>8812.236666666664</v>
      </c>
      <c r="UT24" s="90">
        <f t="shared" si="331"/>
        <v>8812.236666666664</v>
      </c>
      <c r="UU24" s="90">
        <f t="shared" si="516"/>
        <v>9142.5666666666639</v>
      </c>
      <c r="UV24" s="90">
        <f t="shared" si="333"/>
        <v>9018.2283333333326</v>
      </c>
      <c r="UW24" s="90">
        <f t="shared" si="334"/>
        <v>5.9499999999999993</v>
      </c>
      <c r="UX24" s="90">
        <f t="shared" si="335"/>
        <v>3.92</v>
      </c>
      <c r="UY24" s="90">
        <f t="shared" si="336"/>
        <v>3.8019635148308026</v>
      </c>
      <c r="UZ24" s="100">
        <f t="shared" si="337"/>
        <v>3.5512042940000006</v>
      </c>
      <c r="VA24" s="90">
        <f t="shared" si="338"/>
        <v>0.63</v>
      </c>
      <c r="VB24" s="90">
        <f t="shared" si="339"/>
        <v>1.4</v>
      </c>
      <c r="VC24" s="90">
        <f t="shared" si="340"/>
        <v>0</v>
      </c>
      <c r="VD24" s="90">
        <f t="shared" si="341"/>
        <v>0</v>
      </c>
      <c r="VE24" s="90">
        <f t="shared" si="342"/>
        <v>0</v>
      </c>
      <c r="VF24" s="90">
        <f t="shared" si="343"/>
        <v>0</v>
      </c>
      <c r="VG24" s="90">
        <f t="shared" si="344"/>
        <v>0</v>
      </c>
      <c r="VH24" s="90">
        <f t="shared" si="345"/>
        <v>0</v>
      </c>
      <c r="VI24" s="90">
        <f t="shared" si="346"/>
        <v>0</v>
      </c>
      <c r="VJ24" s="90">
        <f t="shared" si="347"/>
        <v>0</v>
      </c>
      <c r="VK24" s="90">
        <f t="shared" si="348"/>
        <v>0.73</v>
      </c>
      <c r="VL24" s="90">
        <f t="shared" si="349"/>
        <v>3.64</v>
      </c>
      <c r="VM24" s="90">
        <f t="shared" si="350"/>
        <v>1.87</v>
      </c>
      <c r="VN24" s="90">
        <f t="shared" si="351"/>
        <v>0</v>
      </c>
      <c r="VO24" s="90">
        <f t="shared" si="352"/>
        <v>1.87</v>
      </c>
      <c r="VP24" s="97">
        <v>0</v>
      </c>
      <c r="VQ24" s="97">
        <v>1.87</v>
      </c>
      <c r="VR24" s="90">
        <f t="shared" si="353"/>
        <v>0.34</v>
      </c>
      <c r="VS24" s="90">
        <f t="shared" si="354"/>
        <v>0.12</v>
      </c>
      <c r="VT24" s="90">
        <v>0.11989898989898991</v>
      </c>
      <c r="VU24" s="90">
        <f t="shared" si="355"/>
        <v>0.11920000000000001</v>
      </c>
      <c r="VV24" s="90">
        <v>0.38175323599898991</v>
      </c>
      <c r="VW24" s="90">
        <f t="shared" si="356"/>
        <v>0.46</v>
      </c>
      <c r="VX24" s="90">
        <f t="shared" si="357"/>
        <v>11.920000000000002</v>
      </c>
      <c r="VY24" s="90">
        <f t="shared" si="358"/>
        <v>11.920000000000002</v>
      </c>
      <c r="VZ24" s="90">
        <f t="shared" si="359"/>
        <v>0</v>
      </c>
      <c r="WA24" s="90"/>
      <c r="WB24" s="90">
        <f t="shared" si="360"/>
        <v>11.920000000000002</v>
      </c>
      <c r="WC24" s="90">
        <f t="shared" si="361"/>
        <v>0</v>
      </c>
      <c r="WD24" s="90"/>
      <c r="WE24" s="90">
        <v>11.920000000000002</v>
      </c>
      <c r="WF24" s="90"/>
      <c r="WG24" s="90">
        <f t="shared" si="362"/>
        <v>8559.7520000000022</v>
      </c>
      <c r="WH24" s="90">
        <f t="shared" si="363"/>
        <v>8559.7520000000022</v>
      </c>
      <c r="WI24" s="90">
        <f t="shared" si="364"/>
        <v>8566.15</v>
      </c>
      <c r="WJ24" s="90">
        <f t="shared" si="365"/>
        <v>7223.2999999999993</v>
      </c>
      <c r="WK24" s="97">
        <v>1342.85</v>
      </c>
      <c r="WL24" s="97">
        <v>1.87</v>
      </c>
      <c r="WM24" s="90">
        <f t="shared" si="366"/>
        <v>1342.85</v>
      </c>
      <c r="WN24" s="90">
        <f t="shared" si="367"/>
        <v>1.87</v>
      </c>
      <c r="WO24" s="90"/>
      <c r="WP24" s="97">
        <v>11.920000000000002</v>
      </c>
      <c r="WQ24" s="90">
        <f t="shared" si="368"/>
        <v>11.920000000000002</v>
      </c>
      <c r="WR24" s="91">
        <f t="shared" si="369"/>
        <v>105.67375886524826</v>
      </c>
      <c r="WS24" s="91">
        <f t="shared" si="370"/>
        <v>105.67375886524826</v>
      </c>
      <c r="WT24" s="90">
        <f t="shared" si="371"/>
        <v>8559.75</v>
      </c>
      <c r="WU24" s="90">
        <f t="shared" si="372"/>
        <v>8566.15</v>
      </c>
      <c r="WV24" s="90">
        <f t="shared" si="373"/>
        <v>-6.3999999999996362</v>
      </c>
      <c r="WW24" s="90"/>
      <c r="WX24" s="90"/>
      <c r="WY24" s="90"/>
      <c r="WZ24" s="90">
        <f t="shared" si="374"/>
        <v>1.8519959595959601</v>
      </c>
      <c r="XA24" s="90">
        <v>0</v>
      </c>
      <c r="XB24" s="90">
        <f t="shared" si="375"/>
        <v>1.8519959595959601</v>
      </c>
      <c r="XC24" s="90">
        <f t="shared" si="376"/>
        <v>0.35759999999999997</v>
      </c>
      <c r="XD24" s="90">
        <f t="shared" si="377"/>
        <v>0.1204040404040404</v>
      </c>
      <c r="XE24" s="90"/>
      <c r="XF24" s="90">
        <f t="shared" si="378"/>
        <v>11.92</v>
      </c>
      <c r="XG24" s="90">
        <v>2.0466911061597735</v>
      </c>
      <c r="XH24" s="20">
        <v>11.28</v>
      </c>
      <c r="XI24" s="20">
        <v>0</v>
      </c>
      <c r="XJ24" s="20"/>
      <c r="XK24" s="20"/>
      <c r="XL24" s="20"/>
      <c r="XM24" s="20">
        <f t="shared" si="379"/>
        <v>11.28</v>
      </c>
      <c r="XN24" s="91">
        <f t="shared" si="380"/>
        <v>105.67375886524826</v>
      </c>
      <c r="XO24" s="20">
        <f t="shared" si="381"/>
        <v>11.28</v>
      </c>
      <c r="XP24" s="90">
        <f t="shared" si="382"/>
        <v>11.28</v>
      </c>
      <c r="XQ24" s="91">
        <f t="shared" si="383"/>
        <v>105.67375886524826</v>
      </c>
      <c r="XR24" s="102"/>
      <c r="XS24" s="90">
        <f t="shared" si="384"/>
        <v>3.64</v>
      </c>
      <c r="XT24" s="90">
        <f t="shared" si="385"/>
        <v>5.9499999999999993</v>
      </c>
      <c r="XU24" s="90">
        <f t="shared" si="386"/>
        <v>3.92</v>
      </c>
      <c r="XV24" s="90">
        <f t="shared" si="387"/>
        <v>0.63</v>
      </c>
      <c r="XW24" s="90">
        <f t="shared" si="388"/>
        <v>0.63</v>
      </c>
      <c r="XX24" s="90">
        <f t="shared" si="389"/>
        <v>0</v>
      </c>
      <c r="XY24" s="90">
        <f t="shared" si="390"/>
        <v>1.4</v>
      </c>
      <c r="XZ24" s="90">
        <f t="shared" si="391"/>
        <v>0</v>
      </c>
      <c r="YA24" s="90">
        <f t="shared" si="392"/>
        <v>0</v>
      </c>
      <c r="YB24" s="90">
        <f t="shared" si="393"/>
        <v>0</v>
      </c>
      <c r="YC24" s="90">
        <f t="shared" si="393"/>
        <v>0</v>
      </c>
      <c r="YD24" s="90">
        <f t="shared" si="394"/>
        <v>1.4</v>
      </c>
      <c r="YE24" s="90">
        <f t="shared" si="395"/>
        <v>1.87</v>
      </c>
      <c r="YF24" s="90">
        <f t="shared" si="396"/>
        <v>0.46</v>
      </c>
      <c r="YG24" s="90">
        <f t="shared" si="397"/>
        <v>11.920000000000002</v>
      </c>
      <c r="YI24" s="103" t="s">
        <v>485</v>
      </c>
      <c r="YK24" s="90">
        <f t="shared" si="398"/>
        <v>1.07</v>
      </c>
      <c r="YL24" s="90">
        <f t="shared" si="399"/>
        <v>0.63</v>
      </c>
      <c r="YM24" s="90">
        <f t="shared" si="399"/>
        <v>1.4</v>
      </c>
      <c r="YN24" s="90">
        <f t="shared" si="400"/>
        <v>3.64</v>
      </c>
      <c r="YO24" s="90">
        <f t="shared" si="401"/>
        <v>5.18</v>
      </c>
      <c r="YP24" s="90">
        <f t="shared" si="402"/>
        <v>0</v>
      </c>
      <c r="YQ24" s="90">
        <f t="shared" si="403"/>
        <v>11.920000000000002</v>
      </c>
      <c r="YR24" s="90">
        <f t="shared" si="404"/>
        <v>0</v>
      </c>
      <c r="YS24" s="104">
        <f t="shared" si="405"/>
        <v>11.92</v>
      </c>
      <c r="YT24" s="104">
        <f t="shared" si="406"/>
        <v>0</v>
      </c>
      <c r="YY24" s="90">
        <f t="shared" si="407"/>
        <v>7.5</v>
      </c>
      <c r="YZ24" s="90">
        <f t="shared" si="408"/>
        <v>4.18</v>
      </c>
      <c r="ZA24" s="90">
        <f t="shared" si="409"/>
        <v>0.56000000000000005</v>
      </c>
      <c r="ZB24" s="90">
        <f t="shared" si="410"/>
        <v>2.76</v>
      </c>
      <c r="ZC24" s="90">
        <f t="shared" si="411"/>
        <v>0</v>
      </c>
      <c r="ZD24" s="90">
        <f t="shared" si="412"/>
        <v>0</v>
      </c>
      <c r="ZE24" s="90">
        <f t="shared" si="413"/>
        <v>0</v>
      </c>
      <c r="ZF24" s="90">
        <f t="shared" si="414"/>
        <v>0</v>
      </c>
      <c r="ZG24" s="90">
        <f t="shared" si="415"/>
        <v>0</v>
      </c>
      <c r="ZH24" s="90">
        <f t="shared" si="416"/>
        <v>0</v>
      </c>
      <c r="ZI24" s="90">
        <f t="shared" si="417"/>
        <v>0</v>
      </c>
      <c r="ZJ24" s="90">
        <f t="shared" si="418"/>
        <v>0</v>
      </c>
      <c r="ZK24" s="90">
        <f t="shared" si="419"/>
        <v>0</v>
      </c>
      <c r="ZL24" s="90">
        <f t="shared" si="420"/>
        <v>0.02</v>
      </c>
      <c r="ZM24" s="90">
        <f t="shared" si="421"/>
        <v>4.1100000000000003</v>
      </c>
      <c r="ZN24" s="90">
        <f t="shared" si="422"/>
        <v>6.76</v>
      </c>
      <c r="ZO24" s="90">
        <f t="shared" si="423"/>
        <v>3.27</v>
      </c>
      <c r="ZP24" s="90">
        <f t="shared" si="424"/>
        <v>4</v>
      </c>
      <c r="ZQ24" s="90">
        <f t="shared" si="425"/>
        <v>0</v>
      </c>
      <c r="ZR24" s="90">
        <f t="shared" si="426"/>
        <v>4</v>
      </c>
      <c r="ZS24" s="97">
        <v>227</v>
      </c>
      <c r="ZT24" s="97">
        <v>230.38</v>
      </c>
      <c r="ZU24" s="90">
        <f t="shared" si="427"/>
        <v>0.49</v>
      </c>
      <c r="ZV24" s="90">
        <f t="shared" si="428"/>
        <v>0.17</v>
      </c>
      <c r="ZW24" s="90">
        <v>0.11989898989898991</v>
      </c>
      <c r="ZX24" s="90">
        <f t="shared" si="429"/>
        <v>0.16270000000000001</v>
      </c>
      <c r="ZY24" s="90">
        <v>0.38175323599898991</v>
      </c>
      <c r="ZZ24" s="90">
        <f t="shared" si="430"/>
        <v>0.66</v>
      </c>
      <c r="AAA24" s="90">
        <f t="shared" si="431"/>
        <v>16.27</v>
      </c>
      <c r="AAB24" s="90">
        <f t="shared" si="432"/>
        <v>16.27</v>
      </c>
      <c r="AAC24" s="90">
        <f t="shared" si="433"/>
        <v>0</v>
      </c>
      <c r="AAD24" s="90"/>
      <c r="AAE24" s="90">
        <f t="shared" si="434"/>
        <v>16.27</v>
      </c>
      <c r="AAF24" s="90">
        <v>11.920000000000002</v>
      </c>
      <c r="AAG24" s="90">
        <f t="shared" si="435"/>
        <v>136.49328859060401</v>
      </c>
      <c r="AAH24" s="90">
        <f t="shared" si="436"/>
        <v>0</v>
      </c>
      <c r="AAI24" s="90">
        <v>0</v>
      </c>
      <c r="AAJ24" s="90"/>
      <c r="AAK24" s="1">
        <v>13.84</v>
      </c>
      <c r="AAL24" s="104">
        <f t="shared" si="437"/>
        <v>2.4299999999999997</v>
      </c>
      <c r="AAM24" s="103" t="s">
        <v>486</v>
      </c>
      <c r="AAN24" s="105">
        <v>7.52</v>
      </c>
      <c r="AAO24" s="90">
        <f t="shared" si="438"/>
        <v>8.25</v>
      </c>
      <c r="AAP24" s="90">
        <v>4.21</v>
      </c>
      <c r="AAQ24" s="90">
        <f t="shared" si="439"/>
        <v>4.18</v>
      </c>
      <c r="AAR24" s="90">
        <v>0.56000000000000005</v>
      </c>
      <c r="AAS24" s="90">
        <f t="shared" si="440"/>
        <v>0.85</v>
      </c>
      <c r="AAT24" s="90">
        <f t="shared" ref="AAT24" si="536">AAS24/AAR24*100</f>
        <v>151.78571428571425</v>
      </c>
      <c r="AAU24" s="90">
        <v>2.75</v>
      </c>
      <c r="AAV24" s="90">
        <f t="shared" si="442"/>
        <v>2.76</v>
      </c>
      <c r="AAW24" s="90">
        <f t="shared" si="443"/>
        <v>100.36363636363636</v>
      </c>
      <c r="AAX24" s="90">
        <f t="shared" si="444"/>
        <v>0.46</v>
      </c>
      <c r="AAY24" s="90">
        <f t="shared" si="445"/>
        <v>0</v>
      </c>
      <c r="AAZ24" s="90">
        <f t="shared" si="446"/>
        <v>0</v>
      </c>
      <c r="ABA24" s="90">
        <f t="shared" si="447"/>
        <v>0</v>
      </c>
      <c r="ABB24" s="90">
        <f t="shared" si="448"/>
        <v>0</v>
      </c>
      <c r="ABC24" s="90">
        <v>0</v>
      </c>
      <c r="ABD24" s="90">
        <f t="shared" si="449"/>
        <v>0</v>
      </c>
      <c r="ABE24" s="90"/>
      <c r="ABF24" s="90">
        <v>0</v>
      </c>
      <c r="ABG24" s="90">
        <f t="shared" si="450"/>
        <v>0</v>
      </c>
      <c r="ABH24" s="90"/>
      <c r="ABI24" s="90">
        <f t="shared" si="451"/>
        <v>0</v>
      </c>
      <c r="ABJ24" s="90">
        <f t="shared" si="452"/>
        <v>0</v>
      </c>
      <c r="ABK24" s="90">
        <v>0</v>
      </c>
      <c r="ABL24" s="90">
        <f t="shared" si="453"/>
        <v>0</v>
      </c>
      <c r="ABM24" s="90">
        <f t="shared" si="454"/>
        <v>0</v>
      </c>
      <c r="ABN24" s="90">
        <f t="shared" si="455"/>
        <v>0.02</v>
      </c>
      <c r="ABO24" s="90">
        <v>3.91</v>
      </c>
      <c r="ABP24" s="90">
        <f t="shared" si="456"/>
        <v>4.1100000000000003</v>
      </c>
      <c r="ABQ24" s="90">
        <f t="shared" si="457"/>
        <v>105.1150895140665</v>
      </c>
      <c r="ABR24" s="90">
        <f t="shared" si="458"/>
        <v>6.76</v>
      </c>
      <c r="ABS24" s="90">
        <f t="shared" si="459"/>
        <v>3.27</v>
      </c>
      <c r="ABT24" s="90">
        <v>1.87</v>
      </c>
      <c r="ABU24" s="90">
        <f t="shared" si="460"/>
        <v>4</v>
      </c>
      <c r="ABV24" s="90">
        <f t="shared" si="461"/>
        <v>213.903743315508</v>
      </c>
      <c r="ABW24" s="90">
        <f t="shared" si="462"/>
        <v>0</v>
      </c>
      <c r="ABX24" s="90">
        <f t="shared" si="463"/>
        <v>4</v>
      </c>
      <c r="ABY24" s="97">
        <v>227</v>
      </c>
      <c r="ABZ24" s="97">
        <v>230.38</v>
      </c>
      <c r="ACA24" s="90">
        <f t="shared" si="464"/>
        <v>0.49</v>
      </c>
      <c r="ACB24" s="90">
        <f t="shared" si="465"/>
        <v>0.17</v>
      </c>
      <c r="ACC24" s="90">
        <v>0.11989898989898991</v>
      </c>
      <c r="ACD24" s="90">
        <f t="shared" si="466"/>
        <v>0.1656</v>
      </c>
      <c r="ACE24" s="90">
        <v>0.38175323599898991</v>
      </c>
      <c r="ACF24" s="90">
        <v>0.54</v>
      </c>
      <c r="ACG24" s="90">
        <f t="shared" si="467"/>
        <v>0.66</v>
      </c>
      <c r="ACH24" s="90">
        <f t="shared" si="468"/>
        <v>122.22222222222221</v>
      </c>
      <c r="ACI24" s="90">
        <f t="shared" si="469"/>
        <v>17.02</v>
      </c>
      <c r="ACJ24" s="90">
        <f t="shared" si="470"/>
        <v>16.559999999999999</v>
      </c>
      <c r="ACK24" s="90">
        <f t="shared" si="471"/>
        <v>-0.46000000000000085</v>
      </c>
      <c r="ACL24" s="90"/>
      <c r="ACM24" s="90">
        <f t="shared" si="472"/>
        <v>17.02</v>
      </c>
      <c r="ACN24" s="90">
        <f t="shared" si="473"/>
        <v>0</v>
      </c>
      <c r="ACO24" s="90">
        <f t="shared" si="474"/>
        <v>17.02</v>
      </c>
      <c r="ACP24" s="90">
        <v>13.84</v>
      </c>
      <c r="ACQ24" s="90">
        <f t="shared" si="475"/>
        <v>122.97687861271676</v>
      </c>
      <c r="ACR24" s="90">
        <f t="shared" si="476"/>
        <v>0</v>
      </c>
      <c r="ACS24" s="90">
        <v>0</v>
      </c>
      <c r="ACT24" s="90"/>
      <c r="ACU24" s="90">
        <f t="shared" si="477"/>
        <v>14.545839999999998</v>
      </c>
      <c r="ACV24" s="90">
        <f t="shared" si="478"/>
        <v>-2.4741600000000012</v>
      </c>
      <c r="ACX24" s="106" t="s">
        <v>459</v>
      </c>
      <c r="ACY24" s="107"/>
      <c r="ACZ24" s="107">
        <v>90000</v>
      </c>
      <c r="ADB24" s="90">
        <f t="shared" si="479"/>
        <v>4.1100000000000003</v>
      </c>
      <c r="ADC24" s="90">
        <f t="shared" si="480"/>
        <v>8.25</v>
      </c>
      <c r="ADD24" s="90">
        <f t="shared" si="481"/>
        <v>4.18</v>
      </c>
      <c r="ADE24" s="90">
        <f t="shared" si="517"/>
        <v>1.31</v>
      </c>
      <c r="ADF24" s="90">
        <f t="shared" si="483"/>
        <v>0.85</v>
      </c>
      <c r="ADG24" s="90">
        <f t="shared" si="484"/>
        <v>0.46</v>
      </c>
      <c r="ADH24" s="90">
        <f t="shared" si="484"/>
        <v>0</v>
      </c>
      <c r="ADI24" s="90">
        <f t="shared" si="484"/>
        <v>0</v>
      </c>
      <c r="ADJ24" s="90">
        <f t="shared" si="485"/>
        <v>2.76</v>
      </c>
      <c r="ADK24" s="90">
        <f t="shared" si="486"/>
        <v>0</v>
      </c>
      <c r="ADL24" s="90">
        <f t="shared" si="487"/>
        <v>0</v>
      </c>
      <c r="ADM24" s="90">
        <f t="shared" si="488"/>
        <v>0</v>
      </c>
      <c r="ADN24" s="90">
        <f t="shared" si="488"/>
        <v>0</v>
      </c>
      <c r="ADO24" s="90">
        <f t="shared" si="489"/>
        <v>2.76</v>
      </c>
      <c r="ADP24" s="90">
        <f t="shared" si="490"/>
        <v>4</v>
      </c>
      <c r="ADQ24" s="90">
        <f t="shared" si="491"/>
        <v>0.66</v>
      </c>
      <c r="ADR24" s="90">
        <f t="shared" si="492"/>
        <v>17.02</v>
      </c>
      <c r="ADU24" s="90">
        <f t="shared" si="493"/>
        <v>1.1499999999999999</v>
      </c>
      <c r="ADV24" s="90">
        <f t="shared" si="494"/>
        <v>0.85</v>
      </c>
      <c r="ADW24" s="90">
        <f t="shared" si="495"/>
        <v>2.76</v>
      </c>
      <c r="ADX24" s="90">
        <f t="shared" si="496"/>
        <v>4.1100000000000003</v>
      </c>
      <c r="ADY24" s="90">
        <f t="shared" si="497"/>
        <v>7.6899999999999995</v>
      </c>
      <c r="ADZ24" s="90">
        <f t="shared" si="498"/>
        <v>0</v>
      </c>
      <c r="AEA24" s="90">
        <f t="shared" si="499"/>
        <v>17.02</v>
      </c>
      <c r="AEB24" s="90">
        <f t="shared" si="500"/>
        <v>0</v>
      </c>
      <c r="AEC24" s="104">
        <f t="shared" si="501"/>
        <v>16.560000000000002</v>
      </c>
      <c r="AED24" s="104">
        <f t="shared" si="502"/>
        <v>0.4599999999999973</v>
      </c>
      <c r="AEG24" s="1">
        <v>7.52</v>
      </c>
      <c r="AEH24" s="1">
        <v>4.21</v>
      </c>
      <c r="AEI24" s="1">
        <v>0.56000000000000005</v>
      </c>
      <c r="AEJ24" s="1">
        <v>2.75</v>
      </c>
      <c r="AEK24" s="1">
        <v>0</v>
      </c>
      <c r="AEL24" s="1">
        <v>0</v>
      </c>
      <c r="AEM24" s="1">
        <v>0</v>
      </c>
      <c r="AEN24" s="1">
        <v>0</v>
      </c>
      <c r="AEO24" s="1">
        <v>0</v>
      </c>
      <c r="AEP24" s="1">
        <v>0</v>
      </c>
      <c r="AEQ24" s="1">
        <v>0</v>
      </c>
      <c r="AER24" s="1">
        <v>0</v>
      </c>
      <c r="AES24" s="1">
        <v>0</v>
      </c>
      <c r="AET24" s="1">
        <v>0</v>
      </c>
      <c r="AEU24" s="1">
        <v>0</v>
      </c>
      <c r="AEV24" s="1">
        <v>0.02</v>
      </c>
      <c r="AEW24" s="1">
        <v>3.91</v>
      </c>
      <c r="AEX24" s="1">
        <v>4.62</v>
      </c>
      <c r="AEY24" s="1">
        <v>3.27</v>
      </c>
      <c r="AEZ24" s="1">
        <v>1.87</v>
      </c>
      <c r="AFA24" s="1">
        <v>0</v>
      </c>
      <c r="AFB24" s="1">
        <v>1.87</v>
      </c>
      <c r="AFC24" s="1">
        <v>227</v>
      </c>
      <c r="AFD24" s="1">
        <v>230.38</v>
      </c>
      <c r="AFE24" s="1">
        <v>0.4</v>
      </c>
      <c r="AFF24" s="1">
        <v>0.14000000000000001</v>
      </c>
      <c r="AFG24" s="1">
        <v>0.11989898989898991</v>
      </c>
      <c r="AFH24" s="1">
        <v>0.1384</v>
      </c>
      <c r="AFI24" s="1">
        <v>0.38175323599898991</v>
      </c>
      <c r="AFJ24" s="1">
        <v>0.54</v>
      </c>
      <c r="AFK24" s="1">
        <v>13.84</v>
      </c>
      <c r="AFL24" s="1">
        <v>13.84</v>
      </c>
      <c r="AFM24" s="1">
        <v>0</v>
      </c>
      <c r="AFO24" s="1">
        <v>13.84</v>
      </c>
      <c r="AFP24" s="1">
        <v>0</v>
      </c>
      <c r="AFQ24" s="1">
        <v>13.84</v>
      </c>
      <c r="AFX24" s="1">
        <v>14.54</v>
      </c>
    </row>
    <row r="25" spans="1:856" s="1" customFormat="1" ht="63.75" customHeight="1">
      <c r="A25" s="88">
        <v>17</v>
      </c>
      <c r="B25" s="20"/>
      <c r="C25" s="89" t="s">
        <v>487</v>
      </c>
      <c r="D25" s="20"/>
      <c r="E25" s="20" t="s">
        <v>437</v>
      </c>
      <c r="F25" s="20" t="s">
        <v>438</v>
      </c>
      <c r="G25" s="20">
        <v>0.8</v>
      </c>
      <c r="H25" s="20">
        <v>716.1</v>
      </c>
      <c r="I25" s="20">
        <f>716.1-0.2</f>
        <v>715.9</v>
      </c>
      <c r="J25" s="20">
        <f t="shared" si="0"/>
        <v>572.72</v>
      </c>
      <c r="K25" s="20">
        <v>16</v>
      </c>
      <c r="L25" s="20"/>
      <c r="M25" s="20"/>
      <c r="N25" s="20"/>
      <c r="O25" s="90">
        <f t="shared" si="1"/>
        <v>0</v>
      </c>
      <c r="P25" s="20"/>
      <c r="Q25" s="20"/>
      <c r="R25" s="90">
        <f t="shared" si="2"/>
        <v>0</v>
      </c>
      <c r="S25" s="110">
        <f>58.9+0.4</f>
        <v>59.3</v>
      </c>
      <c r="T25" s="20">
        <v>2.6</v>
      </c>
      <c r="U25" s="20">
        <v>3.13</v>
      </c>
      <c r="V25" s="91">
        <f t="shared" si="3"/>
        <v>482.58</v>
      </c>
      <c r="W25" s="20">
        <v>2.1000000000000001E-2</v>
      </c>
      <c r="X25" s="20">
        <f t="shared" si="4"/>
        <v>33.42</v>
      </c>
      <c r="Y25" s="91">
        <f t="shared" si="5"/>
        <v>41.62</v>
      </c>
      <c r="Z25" s="20"/>
      <c r="AA25" s="20"/>
      <c r="AB25" s="20"/>
      <c r="AC25" s="91">
        <f t="shared" si="6"/>
        <v>524.20000000000005</v>
      </c>
      <c r="AD25" s="90">
        <f t="shared" si="7"/>
        <v>0.73</v>
      </c>
      <c r="AE25" s="92">
        <f t="shared" si="8"/>
        <v>6290.4000000000005</v>
      </c>
      <c r="AF25" s="20">
        <v>35</v>
      </c>
      <c r="AG25" s="20">
        <v>32</v>
      </c>
      <c r="AH25" s="20">
        <v>32</v>
      </c>
      <c r="AI25" s="20">
        <v>37</v>
      </c>
      <c r="AJ25" s="20">
        <v>1.6</v>
      </c>
      <c r="AK25" s="90">
        <f t="shared" si="9"/>
        <v>4.2699999999999996</v>
      </c>
      <c r="AL25" s="90">
        <v>391.01</v>
      </c>
      <c r="AM25" s="90">
        <f t="shared" si="10"/>
        <v>1669.61</v>
      </c>
      <c r="AN25" s="20">
        <v>37</v>
      </c>
      <c r="AO25" s="20">
        <v>34</v>
      </c>
      <c r="AP25" s="20">
        <v>35</v>
      </c>
      <c r="AQ25" s="20">
        <v>37</v>
      </c>
      <c r="AR25" s="20">
        <v>34</v>
      </c>
      <c r="AS25" s="20">
        <v>38</v>
      </c>
      <c r="AT25" s="20">
        <f t="shared" si="11"/>
        <v>3</v>
      </c>
      <c r="AU25" s="20">
        <v>1.6</v>
      </c>
      <c r="AV25" s="90">
        <f t="shared" si="12"/>
        <v>4.67</v>
      </c>
      <c r="AW25" s="90">
        <f t="shared" si="523"/>
        <v>188.88</v>
      </c>
      <c r="AX25" s="90">
        <v>956.99</v>
      </c>
      <c r="AY25" s="90">
        <f t="shared" si="14"/>
        <v>1.34</v>
      </c>
      <c r="AZ25" s="90">
        <f t="shared" si="15"/>
        <v>1824.71</v>
      </c>
      <c r="BA25" s="90">
        <f t="shared" si="16"/>
        <v>-867.72</v>
      </c>
      <c r="BB25" s="90">
        <v>956.99</v>
      </c>
      <c r="BC25" s="90">
        <v>1.34</v>
      </c>
      <c r="BD25" s="92">
        <f t="shared" si="17"/>
        <v>11483.880000000001</v>
      </c>
      <c r="BE25" s="90"/>
      <c r="BF25" s="90">
        <f t="shared" si="18"/>
        <v>0</v>
      </c>
      <c r="BG25" s="90">
        <v>391.01</v>
      </c>
      <c r="BH25" s="90">
        <f t="shared" si="19"/>
        <v>1826.02</v>
      </c>
      <c r="BI25" s="90">
        <f t="shared" si="20"/>
        <v>2.5499999999999998</v>
      </c>
      <c r="BJ25" s="90">
        <f t="shared" si="21"/>
        <v>190.29850746268656</v>
      </c>
      <c r="BK25" s="90">
        <f t="shared" si="22"/>
        <v>1826.02</v>
      </c>
      <c r="BL25" s="90">
        <f t="shared" si="23"/>
        <v>2.5499999999999998</v>
      </c>
      <c r="BM25" s="90"/>
      <c r="BN25" s="90">
        <f t="shared" si="24"/>
        <v>0</v>
      </c>
      <c r="BO25" s="90">
        <f t="shared" si="25"/>
        <v>1826.02</v>
      </c>
      <c r="BP25" s="90">
        <f t="shared" si="26"/>
        <v>2.5506635004888953</v>
      </c>
      <c r="BQ25" s="90"/>
      <c r="BR25" s="90">
        <f t="shared" si="27"/>
        <v>0</v>
      </c>
      <c r="BS25" s="90">
        <f t="shared" si="28"/>
        <v>1826.02</v>
      </c>
      <c r="BT25" s="90">
        <f t="shared" si="29"/>
        <v>2.5506635004888953</v>
      </c>
      <c r="BU25" s="90"/>
      <c r="BV25" s="93">
        <v>1.4356370000000001</v>
      </c>
      <c r="BW25" s="90">
        <f t="shared" si="30"/>
        <v>1027.7725283</v>
      </c>
      <c r="BX25" s="90">
        <f t="shared" si="31"/>
        <v>1089.4388799979999</v>
      </c>
      <c r="BY25" s="90"/>
      <c r="BZ25" s="90"/>
      <c r="CA25" s="90">
        <v>0.2651</v>
      </c>
      <c r="CB25" s="90">
        <f t="shared" si="518"/>
        <v>189.78509</v>
      </c>
      <c r="CC25" s="90">
        <v>0.71072749999999996</v>
      </c>
      <c r="CD25" s="90">
        <f t="shared" si="33"/>
        <v>134.88548255297499</v>
      </c>
      <c r="CE25" s="90">
        <f t="shared" si="34"/>
        <v>203.96054682022645</v>
      </c>
      <c r="CF25" s="90">
        <v>199.11446474283906</v>
      </c>
      <c r="CG25" s="90">
        <v>199.11446474283906</v>
      </c>
      <c r="CH25" s="90">
        <f t="shared" si="35"/>
        <v>208.67</v>
      </c>
      <c r="CI25" s="90">
        <f t="shared" si="524"/>
        <v>218.99857948448886</v>
      </c>
      <c r="CJ25" s="90">
        <f t="shared" si="36"/>
        <v>220.15</v>
      </c>
      <c r="CK25" s="90">
        <f t="shared" si="37"/>
        <v>232.82908913681979</v>
      </c>
      <c r="CL25" s="90">
        <f t="shared" si="38"/>
        <v>232.82908913681979</v>
      </c>
      <c r="CM25" s="94">
        <v>0.14899999999999999</v>
      </c>
      <c r="CN25" s="90">
        <f t="shared" si="39"/>
        <v>153.13810671669998</v>
      </c>
      <c r="CO25" s="90">
        <f t="shared" si="40"/>
        <v>162.32639311970198</v>
      </c>
      <c r="CP25" s="90"/>
      <c r="CQ25" s="90">
        <v>3.9539251999999997E-2</v>
      </c>
      <c r="CR25" s="90">
        <f t="shared" si="519"/>
        <v>28.306150506799998</v>
      </c>
      <c r="CS25" s="90">
        <v>0.71072749999999996</v>
      </c>
      <c r="CT25" s="90">
        <f t="shared" si="42"/>
        <v>20.117959584321696</v>
      </c>
      <c r="CU25" s="90">
        <f t="shared" si="43"/>
        <v>30.420397807554636</v>
      </c>
      <c r="CV25" s="90">
        <v>61.527011233240479</v>
      </c>
      <c r="CW25" s="90">
        <f t="shared" si="44"/>
        <v>64.48</v>
      </c>
      <c r="CX25" s="90">
        <f t="shared" si="525"/>
        <v>67.671579072985296</v>
      </c>
      <c r="CY25" s="90">
        <f t="shared" si="45"/>
        <v>68.03</v>
      </c>
      <c r="CZ25" s="90">
        <f t="shared" si="46"/>
        <v>71.945270846514305</v>
      </c>
      <c r="DA25" s="90">
        <f t="shared" si="47"/>
        <v>71.945270846514305</v>
      </c>
      <c r="DB25" s="93">
        <v>1.4169099999999999</v>
      </c>
      <c r="DC25" s="90">
        <f t="shared" si="48"/>
        <v>1014.3658689999999</v>
      </c>
      <c r="DD25" s="90">
        <f t="shared" si="49"/>
        <v>1075.2278211399998</v>
      </c>
      <c r="DE25" s="90"/>
      <c r="DF25" s="90"/>
      <c r="DG25" s="90">
        <v>0.16261500000000001</v>
      </c>
      <c r="DH25" s="90">
        <f t="shared" si="520"/>
        <v>116.4160785</v>
      </c>
      <c r="DI25" s="90">
        <v>0.71072749999999996</v>
      </c>
      <c r="DJ25" s="90">
        <f t="shared" si="51"/>
        <v>82.740108432108741</v>
      </c>
      <c r="DK25" s="90">
        <f t="shared" si="52"/>
        <v>125.11144594934412</v>
      </c>
      <c r="DL25" s="90">
        <v>98.974554030401009</v>
      </c>
      <c r="DM25" s="90">
        <f t="shared" si="53"/>
        <v>103.73</v>
      </c>
      <c r="DN25" s="90">
        <f t="shared" si="526"/>
        <v>108.86434393983818</v>
      </c>
      <c r="DO25" s="90">
        <f t="shared" si="54"/>
        <v>109.44</v>
      </c>
      <c r="DP25" s="90">
        <f t="shared" si="55"/>
        <v>115.73949976595735</v>
      </c>
      <c r="DQ25" s="90">
        <f t="shared" si="56"/>
        <v>115.73949976595735</v>
      </c>
      <c r="DR25" s="93">
        <v>5.6880149999999997E-2</v>
      </c>
      <c r="DS25" s="90">
        <f t="shared" si="57"/>
        <v>40.720499384999997</v>
      </c>
      <c r="DT25" s="90">
        <f t="shared" si="58"/>
        <v>43.163729348099999</v>
      </c>
      <c r="DU25" s="90"/>
      <c r="DV25" s="90">
        <v>6.1506199999999999E-3</v>
      </c>
      <c r="DW25" s="90">
        <f t="shared" si="521"/>
        <v>4.4032288579999994</v>
      </c>
      <c r="DX25" s="90">
        <v>0.71072749999999996</v>
      </c>
      <c r="DY25" s="90">
        <f t="shared" si="60"/>
        <v>3.1294958381741944</v>
      </c>
      <c r="DZ25" s="90">
        <f t="shared" si="61"/>
        <v>4.7321154978627735</v>
      </c>
      <c r="EA25" s="90">
        <f t="shared" si="62"/>
        <v>4.96</v>
      </c>
      <c r="EB25" s="90">
        <f t="shared" si="527"/>
        <v>5.2055060825373305</v>
      </c>
      <c r="EC25" s="90">
        <f t="shared" si="63"/>
        <v>5.23</v>
      </c>
      <c r="ED25" s="90">
        <f t="shared" si="64"/>
        <v>5.5342516035780234</v>
      </c>
      <c r="EE25" s="90">
        <f t="shared" si="65"/>
        <v>5.5342516035780234</v>
      </c>
      <c r="EF25" s="94">
        <v>0.85293354333000004</v>
      </c>
      <c r="EG25" s="90">
        <f t="shared" si="66"/>
        <v>488.49209893595764</v>
      </c>
      <c r="EH25" s="90">
        <f t="shared" si="67"/>
        <v>517.8016248721151</v>
      </c>
      <c r="EI25" s="90"/>
      <c r="EJ25" s="90">
        <v>0.58975</v>
      </c>
      <c r="EK25" s="90">
        <f t="shared" si="68"/>
        <v>337.76161999999999</v>
      </c>
      <c r="EL25" s="90">
        <v>0.71072749999999996</v>
      </c>
      <c r="EM25" s="90">
        <f t="shared" si="69"/>
        <v>240.05647177854999</v>
      </c>
      <c r="EN25" s="90">
        <f t="shared" si="70"/>
        <v>362.98976231528803</v>
      </c>
      <c r="EO25" s="90">
        <v>354.00378673931442</v>
      </c>
      <c r="EP25" s="90">
        <f t="shared" si="71"/>
        <v>371</v>
      </c>
      <c r="EQ25" s="90">
        <f t="shared" si="528"/>
        <v>389.36345899623984</v>
      </c>
      <c r="ER25" s="90">
        <f t="shared" si="72"/>
        <v>391.41</v>
      </c>
      <c r="ES25" s="90">
        <f t="shared" si="73"/>
        <v>413.95309373537231</v>
      </c>
      <c r="ET25" s="90">
        <f t="shared" si="74"/>
        <v>413.95309373537231</v>
      </c>
      <c r="EU25" s="94">
        <v>0.14899999999999999</v>
      </c>
      <c r="EV25" s="90">
        <f t="shared" si="75"/>
        <v>72.785322741457691</v>
      </c>
      <c r="EW25" s="90">
        <f t="shared" si="76"/>
        <v>77.152442105945156</v>
      </c>
      <c r="EX25" s="90"/>
      <c r="EY25" s="90">
        <v>8.7870000000000004E-2</v>
      </c>
      <c r="EZ25" s="90">
        <f t="shared" si="77"/>
        <v>50.324906400000003</v>
      </c>
      <c r="FA25" s="90">
        <v>0.71072749999999996</v>
      </c>
      <c r="FB25" s="90">
        <f t="shared" si="78"/>
        <v>35.767294913405998</v>
      </c>
      <c r="FC25" s="90">
        <f t="shared" si="79"/>
        <v>54.083781966332097</v>
      </c>
      <c r="FD25" s="90">
        <v>109.46372225066165</v>
      </c>
      <c r="FE25" s="90">
        <f t="shared" si="80"/>
        <v>114.72</v>
      </c>
      <c r="FF25" s="90">
        <f t="shared" si="529"/>
        <v>120.39831810255697</v>
      </c>
      <c r="FG25" s="90">
        <f t="shared" si="81"/>
        <v>121.03</v>
      </c>
      <c r="FH25" s="90">
        <f t="shared" si="82"/>
        <v>128.00188386340139</v>
      </c>
      <c r="FI25" s="90">
        <f t="shared" si="83"/>
        <v>128.00188386340139</v>
      </c>
      <c r="FJ25" s="93">
        <v>0.49981642240000002</v>
      </c>
      <c r="FK25" s="90">
        <f t="shared" si="84"/>
        <v>286.25486143692802</v>
      </c>
      <c r="FL25" s="90">
        <f t="shared" si="85"/>
        <v>303.43015312314373</v>
      </c>
      <c r="FM25" s="90"/>
      <c r="FN25" s="90">
        <v>0.35812500000000003</v>
      </c>
      <c r="FO25" s="90">
        <f t="shared" si="86"/>
        <v>205.10535000000002</v>
      </c>
      <c r="FP25" s="90">
        <v>0.71072749999999996</v>
      </c>
      <c r="FQ25" s="90">
        <f t="shared" si="87"/>
        <v>145.774012642125</v>
      </c>
      <c r="FR25" s="90">
        <f t="shared" si="88"/>
        <v>220.42511001129722</v>
      </c>
      <c r="FS25" s="90">
        <v>173.76219884370971</v>
      </c>
      <c r="FT25" s="90">
        <f t="shared" si="89"/>
        <v>182.1</v>
      </c>
      <c r="FU25" s="90">
        <v>173.90750587358593</v>
      </c>
      <c r="FV25" s="90">
        <f t="shared" si="90"/>
        <v>182.26</v>
      </c>
      <c r="FW25" s="90">
        <f t="shared" si="530"/>
        <v>191.28135858936571</v>
      </c>
      <c r="FX25" s="90">
        <f t="shared" si="91"/>
        <v>192.28</v>
      </c>
      <c r="FY25" s="90">
        <f t="shared" si="92"/>
        <v>203.36143090083277</v>
      </c>
      <c r="FZ25" s="90">
        <f t="shared" si="93"/>
        <v>203.36143090083277</v>
      </c>
      <c r="GA25" s="94">
        <v>1.352261642E-2</v>
      </c>
      <c r="GB25" s="90">
        <f t="shared" si="94"/>
        <v>7.7446728760624</v>
      </c>
      <c r="GC25" s="90">
        <f t="shared" si="95"/>
        <v>8.2093532486261438</v>
      </c>
      <c r="GD25" s="90"/>
      <c r="GE25" s="90">
        <v>1.0749999999999999E-2</v>
      </c>
      <c r="GF25" s="90">
        <f t="shared" si="96"/>
        <v>6.1567400000000001</v>
      </c>
      <c r="GG25" s="90">
        <v>0.71072749999999996</v>
      </c>
      <c r="GH25" s="90">
        <f t="shared" si="97"/>
        <v>4.3757644283500001</v>
      </c>
      <c r="GI25" s="90">
        <f t="shared" si="98"/>
        <v>6.6166001608975771</v>
      </c>
      <c r="GJ25" s="90">
        <f t="shared" si="99"/>
        <v>6.93</v>
      </c>
      <c r="GK25" s="90">
        <f t="shared" si="531"/>
        <v>7.2730155548354238</v>
      </c>
      <c r="GL25" s="90">
        <f t="shared" si="100"/>
        <v>7.31</v>
      </c>
      <c r="GM25" s="90">
        <f t="shared" si="101"/>
        <v>7.7323313735475203</v>
      </c>
      <c r="GN25" s="90">
        <f t="shared" si="102"/>
        <v>7.7323313735475203</v>
      </c>
      <c r="GO25" s="90">
        <v>3225.6</v>
      </c>
      <c r="GP25" s="90">
        <f t="shared" si="103"/>
        <v>268.8</v>
      </c>
      <c r="GQ25" s="90">
        <f>2116.8+138.6</f>
        <v>2255.4</v>
      </c>
      <c r="GR25" s="90">
        <f t="shared" si="104"/>
        <v>187.95000000000002</v>
      </c>
      <c r="GS25" s="90">
        <f t="shared" si="105"/>
        <v>456.75</v>
      </c>
      <c r="GT25" s="90">
        <f t="shared" si="106"/>
        <v>0.64</v>
      </c>
      <c r="GU25" s="90">
        <v>3070.4</v>
      </c>
      <c r="GV25" s="90">
        <f>1672+110.2</f>
        <v>1782.2</v>
      </c>
      <c r="GW25" s="90">
        <f t="shared" si="107"/>
        <v>404.38333333333338</v>
      </c>
      <c r="GX25" s="90">
        <f t="shared" si="108"/>
        <v>0.56000000000000005</v>
      </c>
      <c r="GY25" s="90">
        <v>5487.2</v>
      </c>
      <c r="GZ25" s="90">
        <f>1778.4+117.8</f>
        <v>1896.2</v>
      </c>
      <c r="HA25" s="90">
        <f t="shared" si="109"/>
        <v>615.2833333333333</v>
      </c>
      <c r="HB25" s="90">
        <f t="shared" si="110"/>
        <v>0.86</v>
      </c>
      <c r="HC25" s="90">
        <v>5487.2</v>
      </c>
      <c r="HD25" s="90">
        <f>1778.4+117.8</f>
        <v>1896.2</v>
      </c>
      <c r="HE25" s="90">
        <f t="shared" si="111"/>
        <v>615.2833333333333</v>
      </c>
      <c r="HF25" s="90">
        <f t="shared" si="112"/>
        <v>0.86</v>
      </c>
      <c r="HG25" s="90"/>
      <c r="HH25" s="90"/>
      <c r="HI25" s="90">
        <v>0.96</v>
      </c>
      <c r="HJ25" s="90">
        <f t="shared" si="113"/>
        <v>687.2639999999999</v>
      </c>
      <c r="HK25" s="90">
        <f t="shared" si="114"/>
        <v>1.0060762676351447</v>
      </c>
      <c r="HL25" s="90">
        <f t="shared" si="115"/>
        <v>720.25</v>
      </c>
      <c r="HM25" s="90">
        <v>1.07</v>
      </c>
      <c r="HN25" s="90">
        <f t="shared" si="116"/>
        <v>766.01300000000003</v>
      </c>
      <c r="HO25" s="90">
        <v>1.1499999999999999</v>
      </c>
      <c r="HP25" s="90">
        <f t="shared" si="117"/>
        <v>823.29</v>
      </c>
      <c r="HQ25" s="90">
        <v>1.1499999999999999</v>
      </c>
      <c r="HR25" s="90">
        <f t="shared" si="118"/>
        <v>823.29</v>
      </c>
      <c r="HS25" s="90">
        <v>0.31919999999999998</v>
      </c>
      <c r="HT25" s="90">
        <f t="shared" si="119"/>
        <v>228.51527999999999</v>
      </c>
      <c r="HU25" s="90" t="e">
        <f>HT25*#REF!</f>
        <v>#REF!</v>
      </c>
      <c r="HV25" s="90">
        <v>2.83</v>
      </c>
      <c r="HW25" s="90">
        <v>3.1</v>
      </c>
      <c r="HX25" s="90">
        <f t="shared" si="120"/>
        <v>2219.29</v>
      </c>
      <c r="HY25" s="90">
        <v>1.06</v>
      </c>
      <c r="HZ25" s="90">
        <f t="shared" si="121"/>
        <v>2352.4474</v>
      </c>
      <c r="IA25" s="90">
        <f t="shared" si="122"/>
        <v>3.29</v>
      </c>
      <c r="IB25" s="90">
        <f t="shared" si="123"/>
        <v>3.45</v>
      </c>
      <c r="IC25" s="90">
        <f t="shared" si="124"/>
        <v>2469.855</v>
      </c>
      <c r="ID25" s="90">
        <f t="shared" si="125"/>
        <v>3.64</v>
      </c>
      <c r="IE25" s="90">
        <f t="shared" si="126"/>
        <v>2605.88</v>
      </c>
      <c r="IF25" s="90">
        <f t="shared" si="127"/>
        <v>3.64</v>
      </c>
      <c r="IG25" s="92">
        <f t="shared" si="128"/>
        <v>31270.560000000001</v>
      </c>
      <c r="IH25" s="90">
        <v>3.91</v>
      </c>
      <c r="II25" s="90">
        <f t="shared" si="129"/>
        <v>4.1100000000000003</v>
      </c>
      <c r="IJ25" s="90">
        <f t="shared" si="130"/>
        <v>2942.35</v>
      </c>
      <c r="IK25" s="90">
        <f t="shared" si="131"/>
        <v>4.1100000000000003</v>
      </c>
      <c r="IL25" s="90">
        <f t="shared" si="132"/>
        <v>2942.35</v>
      </c>
      <c r="IM25" s="90">
        <f t="shared" si="133"/>
        <v>4.1100000000000003</v>
      </c>
      <c r="IN25" s="90">
        <f t="shared" si="134"/>
        <v>2942.35</v>
      </c>
      <c r="IO25" s="90">
        <f t="shared" si="135"/>
        <v>4.1100000000000003</v>
      </c>
      <c r="IP25" s="93">
        <v>0.37052404126999999</v>
      </c>
      <c r="IQ25" s="90">
        <f t="shared" si="136"/>
        <v>212.20652891615441</v>
      </c>
      <c r="IR25" s="90">
        <f t="shared" si="137"/>
        <v>224.93892065112368</v>
      </c>
      <c r="IS25" s="90">
        <v>108693.96</v>
      </c>
      <c r="IT25" s="90">
        <v>3053.33</v>
      </c>
      <c r="IU25" s="94"/>
      <c r="IV25" s="94"/>
      <c r="IW25" s="94">
        <v>1.6976249999999999</v>
      </c>
      <c r="IX25" s="90">
        <f t="shared" si="138"/>
        <v>972.26378999999997</v>
      </c>
      <c r="IY25" s="93">
        <v>0.56339614052999998</v>
      </c>
      <c r="IZ25" s="90">
        <f t="shared" si="139"/>
        <v>403.33529700542698</v>
      </c>
      <c r="JA25" s="90">
        <f t="shared" si="140"/>
        <v>422.7</v>
      </c>
      <c r="JB25" s="90">
        <f t="shared" si="532"/>
        <v>443.62246392913903</v>
      </c>
      <c r="JC25" s="90">
        <f t="shared" si="141"/>
        <v>445.95</v>
      </c>
      <c r="JD25" s="90">
        <f t="shared" si="142"/>
        <v>471.63874049040936</v>
      </c>
      <c r="JE25" s="90">
        <f t="shared" si="143"/>
        <v>471.63874049040936</v>
      </c>
      <c r="JF25" s="93">
        <v>4.2278943710000003E-2</v>
      </c>
      <c r="JG25" s="90">
        <f t="shared" si="144"/>
        <v>24.213996641591201</v>
      </c>
      <c r="JH25" s="90">
        <f t="shared" si="145"/>
        <v>25.666836440086676</v>
      </c>
      <c r="JI25" s="20">
        <v>462.98</v>
      </c>
      <c r="JJ25" s="20"/>
      <c r="JK25" s="20">
        <v>6.0624999999999998E-2</v>
      </c>
      <c r="JL25" s="90">
        <f t="shared" si="146"/>
        <v>34.721150000000002</v>
      </c>
      <c r="JM25" s="93">
        <v>6.7347080040000007E-2</v>
      </c>
      <c r="JN25" s="90">
        <f t="shared" si="147"/>
        <v>48.213774600636</v>
      </c>
      <c r="JO25" s="90">
        <f t="shared" si="148"/>
        <v>50.53</v>
      </c>
      <c r="JP25" s="90">
        <f t="shared" si="533"/>
        <v>53.031093215849062</v>
      </c>
      <c r="JQ25" s="90">
        <f t="shared" si="149"/>
        <v>53.31</v>
      </c>
      <c r="JR25" s="90">
        <f t="shared" si="150"/>
        <v>56.380188211451113</v>
      </c>
      <c r="JS25" s="90">
        <f t="shared" si="151"/>
        <v>56.380188211451113</v>
      </c>
      <c r="JT25" s="93">
        <v>7.3220517000000002E-3</v>
      </c>
      <c r="JU25" s="90">
        <f t="shared" si="152"/>
        <v>4.1934854496240002</v>
      </c>
      <c r="JV25" s="90">
        <f t="shared" si="153"/>
        <v>4.3899999999999997</v>
      </c>
      <c r="JW25" s="90">
        <f t="shared" si="534"/>
        <v>4.6072926819231617</v>
      </c>
      <c r="JX25" s="90">
        <f t="shared" si="154"/>
        <v>4.63</v>
      </c>
      <c r="JY25" s="90">
        <f t="shared" si="155"/>
        <v>4.898258979779742</v>
      </c>
      <c r="JZ25" s="90">
        <f t="shared" si="156"/>
        <v>4.898258979779742</v>
      </c>
      <c r="KA25" s="90">
        <v>8.3090999999999998E-3</v>
      </c>
      <c r="KB25" s="90">
        <f t="shared" si="157"/>
        <v>4.7587877519999999</v>
      </c>
      <c r="KC25" s="90" t="e">
        <f>KB25*#REF!</f>
        <v>#REF!</v>
      </c>
      <c r="KD25" s="90">
        <v>34406.519999999997</v>
      </c>
      <c r="KE25" s="90">
        <v>40292.97</v>
      </c>
      <c r="KF25" s="90"/>
      <c r="KG25" s="90">
        <f t="shared" si="522"/>
        <v>838.37997051140326</v>
      </c>
      <c r="KH25" s="90" t="e">
        <f>KG25/(BW25+#REF!)*(CB25+#REF!)</f>
        <v>#REF!</v>
      </c>
      <c r="KI25" s="90">
        <v>0.8</v>
      </c>
      <c r="KJ25" s="94"/>
      <c r="KK25" s="90">
        <f t="shared" si="159"/>
        <v>0</v>
      </c>
      <c r="KL25" s="93">
        <v>1.2690177</v>
      </c>
      <c r="KM25" s="90">
        <f t="shared" si="160"/>
        <v>908.48977143000002</v>
      </c>
      <c r="KN25" s="90">
        <f t="shared" si="161"/>
        <v>962.99915771580004</v>
      </c>
      <c r="KO25" s="90" t="e">
        <f>BW25+CN25+DC25+DS25+EG25+EV25+FK25+GB25+#REF!+#REF!+HJ25+HX25+IQ25+JG25+JU25+KK25+KM25</f>
        <v>#REF!</v>
      </c>
      <c r="KP25" s="90"/>
      <c r="KQ25" s="90">
        <v>0.50815001599999998</v>
      </c>
      <c r="KR25" s="90">
        <f t="shared" si="514"/>
        <v>363.7845964544</v>
      </c>
      <c r="KS25" s="90">
        <v>0.71072749999999996</v>
      </c>
      <c r="KT25" s="90">
        <f t="shared" si="163"/>
        <v>258.55171677654454</v>
      </c>
      <c r="KU25" s="90">
        <f t="shared" si="164"/>
        <v>390.95645088671</v>
      </c>
      <c r="KV25" s="90">
        <f t="shared" si="165"/>
        <v>409.72</v>
      </c>
      <c r="KW25" s="90">
        <f t="shared" si="535"/>
        <v>429.99999035024098</v>
      </c>
      <c r="KX25" s="90">
        <f t="shared" si="166"/>
        <v>432.25</v>
      </c>
      <c r="KY25" s="90">
        <f t="shared" si="167"/>
        <v>457.15596109233627</v>
      </c>
      <c r="KZ25" s="90">
        <f t="shared" si="168"/>
        <v>457.15596109233627</v>
      </c>
      <c r="LA25" s="90">
        <f t="shared" si="169"/>
        <v>2806.33</v>
      </c>
      <c r="LB25" s="90">
        <f t="shared" si="170"/>
        <v>3.92</v>
      </c>
      <c r="LC25" s="92">
        <f t="shared" si="171"/>
        <v>33675.96</v>
      </c>
      <c r="LD25" s="92">
        <v>4.21</v>
      </c>
      <c r="LE25" s="92">
        <v>3013.9399999999996</v>
      </c>
      <c r="LF25" s="90">
        <f t="shared" si="172"/>
        <v>4.18</v>
      </c>
      <c r="LG25" s="90">
        <f t="shared" si="173"/>
        <v>2992.46</v>
      </c>
      <c r="LH25" s="90">
        <f t="shared" si="174"/>
        <v>3016.8047499999998</v>
      </c>
      <c r="LI25" s="90">
        <f t="shared" si="175"/>
        <v>4.21</v>
      </c>
      <c r="LJ25" s="90">
        <f t="shared" si="176"/>
        <v>2992.46</v>
      </c>
      <c r="LK25" s="90">
        <f t="shared" si="177"/>
        <v>4.18</v>
      </c>
      <c r="LL25" s="90">
        <f t="shared" si="178"/>
        <v>2992.46</v>
      </c>
      <c r="LM25" s="90">
        <f t="shared" si="179"/>
        <v>4.18</v>
      </c>
      <c r="LN25" s="95">
        <v>0.46</v>
      </c>
      <c r="LO25" s="95">
        <f t="shared" si="180"/>
        <v>329.31</v>
      </c>
      <c r="LP25" s="95"/>
      <c r="LQ25" s="95">
        <f t="shared" si="181"/>
        <v>0</v>
      </c>
      <c r="LR25" s="90"/>
      <c r="LS25" s="90"/>
      <c r="LT25" s="90">
        <f t="shared" si="182"/>
        <v>0</v>
      </c>
      <c r="LU25" s="90"/>
      <c r="LV25" s="90">
        <f t="shared" si="183"/>
        <v>0</v>
      </c>
      <c r="LW25" s="90">
        <f t="shared" si="184"/>
        <v>0</v>
      </c>
      <c r="LX25" s="90"/>
      <c r="LY25" s="90"/>
      <c r="LZ25" s="90">
        <f t="shared" si="185"/>
        <v>0</v>
      </c>
      <c r="MA25" s="90"/>
      <c r="MB25" s="90">
        <f t="shared" si="186"/>
        <v>0</v>
      </c>
      <c r="MC25" s="90">
        <f t="shared" si="187"/>
        <v>0</v>
      </c>
      <c r="MD25" s="90"/>
      <c r="ME25" s="90"/>
      <c r="MF25" s="90">
        <f t="shared" si="188"/>
        <v>0</v>
      </c>
      <c r="MG25" s="90"/>
      <c r="MH25" s="90">
        <f t="shared" si="189"/>
        <v>0</v>
      </c>
      <c r="MI25" s="90">
        <f t="shared" si="190"/>
        <v>0</v>
      </c>
      <c r="MJ25" s="90"/>
      <c r="MK25" s="90"/>
      <c r="ML25" s="90">
        <f t="shared" si="191"/>
        <v>0</v>
      </c>
      <c r="MM25" s="90"/>
      <c r="MN25" s="90">
        <f t="shared" si="192"/>
        <v>0</v>
      </c>
      <c r="MO25" s="90">
        <f t="shared" si="193"/>
        <v>0</v>
      </c>
      <c r="MP25" s="90">
        <f t="shared" si="194"/>
        <v>0</v>
      </c>
      <c r="MQ25" s="90">
        <f t="shared" si="195"/>
        <v>0</v>
      </c>
      <c r="MR25" s="90">
        <f t="shared" si="196"/>
        <v>0</v>
      </c>
      <c r="MS25" s="90">
        <f t="shared" si="197"/>
        <v>0</v>
      </c>
      <c r="MT25" s="95"/>
      <c r="MU25" s="95">
        <f t="shared" si="198"/>
        <v>0</v>
      </c>
      <c r="MV25" s="92">
        <f t="shared" si="199"/>
        <v>0</v>
      </c>
      <c r="MW25" s="95"/>
      <c r="MX25" s="95">
        <f t="shared" si="200"/>
        <v>0</v>
      </c>
      <c r="MY25" s="95"/>
      <c r="MZ25" s="95">
        <f t="shared" si="201"/>
        <v>0</v>
      </c>
      <c r="NA25" s="95"/>
      <c r="NB25" s="95">
        <f t="shared" si="202"/>
        <v>0</v>
      </c>
      <c r="NC25" s="92">
        <f t="shared" si="203"/>
        <v>0</v>
      </c>
      <c r="ND25" s="95"/>
      <c r="NE25" s="95">
        <f t="shared" si="204"/>
        <v>0</v>
      </c>
      <c r="NF25" s="95"/>
      <c r="NG25" s="95">
        <f t="shared" si="205"/>
        <v>0</v>
      </c>
      <c r="NH25" s="95"/>
      <c r="NI25" s="95"/>
      <c r="NJ25" s="95">
        <f t="shared" si="206"/>
        <v>0</v>
      </c>
      <c r="NK25" s="92">
        <f t="shared" si="207"/>
        <v>0</v>
      </c>
      <c r="NL25" s="95"/>
      <c r="NM25" s="95">
        <f t="shared" si="208"/>
        <v>0</v>
      </c>
      <c r="NN25" s="95"/>
      <c r="NO25" s="95">
        <f t="shared" si="209"/>
        <v>0</v>
      </c>
      <c r="NP25" s="95"/>
      <c r="NQ25" s="95">
        <f t="shared" si="210"/>
        <v>0</v>
      </c>
      <c r="NR25" s="92">
        <f t="shared" si="211"/>
        <v>0</v>
      </c>
      <c r="NS25" s="95"/>
      <c r="NT25" s="95">
        <f t="shared" si="212"/>
        <v>0</v>
      </c>
      <c r="NU25" s="95"/>
      <c r="NV25" s="95">
        <f t="shared" si="213"/>
        <v>0</v>
      </c>
      <c r="NW25" s="95"/>
      <c r="NX25" s="95">
        <f t="shared" si="214"/>
        <v>0</v>
      </c>
      <c r="NY25" s="92">
        <f t="shared" si="215"/>
        <v>0</v>
      </c>
      <c r="NZ25" s="95"/>
      <c r="OA25" s="95">
        <f t="shared" si="216"/>
        <v>0</v>
      </c>
      <c r="OB25" s="95"/>
      <c r="OC25" s="95">
        <f t="shared" si="217"/>
        <v>0</v>
      </c>
      <c r="OD25" s="90">
        <v>3779.95</v>
      </c>
      <c r="OE25" s="90">
        <f t="shared" si="218"/>
        <v>5.28</v>
      </c>
      <c r="OF25" s="92">
        <f t="shared" si="219"/>
        <v>45359.399999999994</v>
      </c>
      <c r="OG25" s="96">
        <v>956.99</v>
      </c>
      <c r="OH25" s="96">
        <v>1.34</v>
      </c>
      <c r="OI25" s="90">
        <v>4753.58</v>
      </c>
      <c r="OJ25" s="90">
        <f t="shared" si="220"/>
        <v>6.64</v>
      </c>
      <c r="OK25" s="90">
        <f t="shared" si="221"/>
        <v>4736.9399999999996</v>
      </c>
      <c r="OL25" s="90">
        <f t="shared" si="222"/>
        <v>6.62</v>
      </c>
      <c r="OM25" s="90">
        <f t="shared" si="223"/>
        <v>1.9999999999999574E-2</v>
      </c>
      <c r="ON25" s="90">
        <v>3794.27</v>
      </c>
      <c r="OO25" s="90">
        <f t="shared" si="224"/>
        <v>5.3</v>
      </c>
      <c r="OP25" s="90">
        <v>3796.59</v>
      </c>
      <c r="OQ25" s="90">
        <v>5.3</v>
      </c>
      <c r="OR25" s="90">
        <f t="shared" si="225"/>
        <v>0</v>
      </c>
      <c r="OS25" s="90">
        <f t="shared" si="226"/>
        <v>5.3</v>
      </c>
      <c r="OT25" s="90">
        <v>3794.27</v>
      </c>
      <c r="OU25" s="90">
        <f t="shared" si="227"/>
        <v>5.3</v>
      </c>
      <c r="OV25" s="97">
        <v>3078.37</v>
      </c>
      <c r="OW25" s="90">
        <f t="shared" si="228"/>
        <v>3085.53</v>
      </c>
      <c r="OX25" s="90">
        <f t="shared" si="229"/>
        <v>4.3099999999999996</v>
      </c>
      <c r="OY25" s="90">
        <f>OU25-1+0.27-0.26</f>
        <v>4.3100000000000005</v>
      </c>
      <c r="OZ25" s="90"/>
      <c r="PA25" s="90"/>
      <c r="PB25" s="95">
        <f t="shared" si="230"/>
        <v>0</v>
      </c>
      <c r="PC25" s="92">
        <f t="shared" si="231"/>
        <v>0</v>
      </c>
      <c r="PD25" s="90"/>
      <c r="PE25" s="95">
        <f t="shared" si="232"/>
        <v>0</v>
      </c>
      <c r="PF25" s="90">
        <f t="shared" si="233"/>
        <v>10605.9</v>
      </c>
      <c r="PG25" s="90">
        <f t="shared" si="234"/>
        <v>14.81</v>
      </c>
      <c r="PH25" s="90">
        <f t="shared" si="235"/>
        <v>11790.953333333335</v>
      </c>
      <c r="PI25" s="90">
        <f t="shared" si="236"/>
        <v>16.47</v>
      </c>
      <c r="PJ25" s="90">
        <f t="shared" si="237"/>
        <v>11790.953333333335</v>
      </c>
      <c r="PK25" s="90">
        <f t="shared" si="238"/>
        <v>16.47</v>
      </c>
      <c r="PL25" s="90"/>
      <c r="PM25" s="90">
        <f t="shared" si="239"/>
        <v>318.18</v>
      </c>
      <c r="PN25" s="90">
        <f t="shared" si="240"/>
        <v>0.44</v>
      </c>
      <c r="PO25" s="92">
        <f t="shared" si="241"/>
        <v>3818.16</v>
      </c>
      <c r="PP25" s="90">
        <f t="shared" si="242"/>
        <v>353.73</v>
      </c>
      <c r="PQ25" s="90">
        <f t="shared" si="243"/>
        <v>0.49</v>
      </c>
      <c r="PR25" s="90">
        <f t="shared" si="244"/>
        <v>353.73</v>
      </c>
      <c r="PS25" s="90">
        <f t="shared" si="245"/>
        <v>0.49</v>
      </c>
      <c r="PT25" s="90">
        <f t="shared" si="246"/>
        <v>10924.08</v>
      </c>
      <c r="PU25" s="90">
        <f t="shared" si="247"/>
        <v>15.26</v>
      </c>
      <c r="PV25" s="90">
        <f t="shared" si="248"/>
        <v>12144.683333333334</v>
      </c>
      <c r="PW25" s="90">
        <f t="shared" si="249"/>
        <v>16.96</v>
      </c>
      <c r="PX25" s="90">
        <f t="shared" si="250"/>
        <v>12144.683333333334</v>
      </c>
      <c r="PY25" s="90">
        <f t="shared" si="251"/>
        <v>16.96</v>
      </c>
      <c r="PZ25" s="90">
        <f t="shared" si="252"/>
        <v>110.34</v>
      </c>
      <c r="QA25" s="90">
        <f t="shared" si="253"/>
        <v>0.15</v>
      </c>
      <c r="QB25" s="92">
        <f t="shared" si="254"/>
        <v>1324.08</v>
      </c>
      <c r="QC25" s="90">
        <f t="shared" si="255"/>
        <v>122.67</v>
      </c>
      <c r="QD25" s="90">
        <f t="shared" si="256"/>
        <v>0.17</v>
      </c>
      <c r="QE25" s="90">
        <f t="shared" si="257"/>
        <v>122.67</v>
      </c>
      <c r="QF25" s="90">
        <f t="shared" si="258"/>
        <v>0.17</v>
      </c>
      <c r="QG25" s="90">
        <f t="shared" si="259"/>
        <v>11034.42</v>
      </c>
      <c r="QH25" s="90">
        <f t="shared" si="260"/>
        <v>15.41</v>
      </c>
      <c r="QI25" s="92">
        <f t="shared" si="261"/>
        <v>132413.04</v>
      </c>
      <c r="QJ25" s="90">
        <f t="shared" si="262"/>
        <v>445.409990350241</v>
      </c>
      <c r="QK25" s="98">
        <f t="shared" si="263"/>
        <v>0.21869999999999998</v>
      </c>
      <c r="QL25" s="90">
        <f t="shared" si="264"/>
        <v>156.56732999999997</v>
      </c>
      <c r="QM25" s="90">
        <f t="shared" si="265"/>
        <v>0.14579999999999999</v>
      </c>
      <c r="QN25" s="90">
        <f t="shared" si="266"/>
        <v>104.37821999999998</v>
      </c>
      <c r="QO25" s="90">
        <v>0.21869999999999998</v>
      </c>
      <c r="QP25" s="90">
        <v>0.14579999999999999</v>
      </c>
      <c r="QQ25" s="97">
        <f t="shared" si="267"/>
        <v>260.94554999999997</v>
      </c>
      <c r="QR25" s="97">
        <v>260.94554999999997</v>
      </c>
      <c r="QS25" s="97">
        <f t="shared" si="268"/>
        <v>0</v>
      </c>
      <c r="QT25" s="90"/>
      <c r="QU25" s="90">
        <f t="shared" si="269"/>
        <v>0.14579999999999999</v>
      </c>
      <c r="QV25" s="90">
        <f t="shared" si="270"/>
        <v>104.37821999999998</v>
      </c>
      <c r="QW25" s="90">
        <f t="shared" si="271"/>
        <v>260.94554999999997</v>
      </c>
      <c r="QX25" s="90">
        <f t="shared" si="272"/>
        <v>0.36449999999999999</v>
      </c>
      <c r="QY25" s="90"/>
      <c r="QZ25" s="90"/>
      <c r="RA25" s="90"/>
      <c r="RB25" s="90">
        <v>2664.34</v>
      </c>
      <c r="RC25" s="97">
        <f t="shared" si="273"/>
        <v>11034.42</v>
      </c>
      <c r="RD25" s="97">
        <f t="shared" si="274"/>
        <v>15.41</v>
      </c>
      <c r="RE25" s="90">
        <f t="shared" si="275"/>
        <v>12267.353333333334</v>
      </c>
      <c r="RF25" s="90">
        <f t="shared" si="276"/>
        <v>17.14</v>
      </c>
      <c r="RG25" s="90">
        <f t="shared" si="277"/>
        <v>111.22647631408175</v>
      </c>
      <c r="RH25" s="90">
        <f t="shared" si="278"/>
        <v>12267.353333333334</v>
      </c>
      <c r="RI25" s="90">
        <f t="shared" si="279"/>
        <v>17.14</v>
      </c>
      <c r="RJ25" s="90">
        <v>16.86</v>
      </c>
      <c r="RK25" s="90">
        <v>0</v>
      </c>
      <c r="RL25" s="90">
        <f t="shared" si="280"/>
        <v>0.28000000000000114</v>
      </c>
      <c r="RM25" s="90">
        <f t="shared" si="281"/>
        <v>105.09202453987731</v>
      </c>
      <c r="RN25" s="90">
        <f t="shared" si="282"/>
        <v>7081.35</v>
      </c>
      <c r="RO25" s="90"/>
      <c r="RP25" s="90"/>
      <c r="RQ25" s="99">
        <v>628</v>
      </c>
      <c r="RR25" s="90">
        <f t="shared" si="283"/>
        <v>7254.47</v>
      </c>
      <c r="RS25" s="90">
        <f t="shared" si="284"/>
        <v>10.133356614052243</v>
      </c>
      <c r="RT25" s="90">
        <v>11.28</v>
      </c>
      <c r="RU25" s="90">
        <f t="shared" si="285"/>
        <v>8075.351999999999</v>
      </c>
      <c r="RV25" s="90">
        <f t="shared" si="286"/>
        <v>0.62216788706556925</v>
      </c>
      <c r="RW25" s="90">
        <v>10.43</v>
      </c>
      <c r="RX25" s="90">
        <f t="shared" si="287"/>
        <v>10.951499999999999</v>
      </c>
      <c r="RY25" s="90">
        <f t="shared" si="288"/>
        <v>7840.1788499999993</v>
      </c>
      <c r="RZ25" s="90">
        <f t="shared" si="289"/>
        <v>2068.404864002242</v>
      </c>
      <c r="SA25" s="90">
        <f t="shared" si="290"/>
        <v>925.39830694655507</v>
      </c>
      <c r="SB25" s="90">
        <f t="shared" si="291"/>
        <v>1399.2962114155127</v>
      </c>
      <c r="SC25" s="90">
        <f t="shared" si="292"/>
        <v>2542.3027684712001</v>
      </c>
      <c r="SD25" s="90">
        <f t="shared" si="293"/>
        <v>2542.3027684711997</v>
      </c>
      <c r="SE25" s="90">
        <f t="shared" si="294"/>
        <v>2580.6161883439963</v>
      </c>
      <c r="SF25" s="90">
        <f t="shared" si="295"/>
        <v>2542.1574614413239</v>
      </c>
      <c r="SG25" s="90">
        <f t="shared" si="296"/>
        <v>0.14530702987622135</v>
      </c>
      <c r="SH25" s="90">
        <f t="shared" si="297"/>
        <v>2542.3027684712001</v>
      </c>
      <c r="SI25" s="90">
        <f t="shared" si="298"/>
        <v>3.5511981679999995</v>
      </c>
      <c r="SJ25" s="90">
        <f t="shared" si="299"/>
        <v>3.550995196872921</v>
      </c>
      <c r="SK25" s="90"/>
      <c r="SL25" s="90"/>
      <c r="SM25" s="90"/>
      <c r="SN25" s="90">
        <f t="shared" si="300"/>
        <v>2721.8199999999997</v>
      </c>
      <c r="SO25" s="90" t="e">
        <f>RU25-#REF!-#REF!-HZ25-LT25-LZ25-MF25-ML25-QL25-QN25-SD25</f>
        <v>#REF!</v>
      </c>
      <c r="SP25" s="90">
        <f t="shared" si="301"/>
        <v>2664.34</v>
      </c>
      <c r="SQ25" s="90">
        <f t="shared" si="302"/>
        <v>2806.33</v>
      </c>
      <c r="SR25" s="90">
        <f t="shared" si="303"/>
        <v>3.7216650370163435</v>
      </c>
      <c r="SS25" s="90">
        <f t="shared" si="304"/>
        <v>3.9200027936862689</v>
      </c>
      <c r="ST25" s="90">
        <f t="shared" si="305"/>
        <v>2817.0329999999999</v>
      </c>
      <c r="SU25" s="90">
        <v>3.7216650370163435</v>
      </c>
      <c r="SV25" s="90">
        <f t="shared" si="306"/>
        <v>3.93</v>
      </c>
      <c r="SW25" s="90">
        <v>3.92</v>
      </c>
      <c r="SX25" s="90">
        <f t="shared" si="307"/>
        <v>2806.33</v>
      </c>
      <c r="SY25" s="90">
        <v>3.7216650370163435</v>
      </c>
      <c r="SZ25" s="90">
        <f t="shared" si="308"/>
        <v>2664.34</v>
      </c>
      <c r="TA25" s="90">
        <f t="shared" si="309"/>
        <v>0</v>
      </c>
      <c r="TB25" s="90">
        <v>0</v>
      </c>
      <c r="TC25" s="90">
        <f t="shared" si="310"/>
        <v>1535.2714499999993</v>
      </c>
      <c r="TD25" s="90" t="e">
        <f>#REF!+#REF!</f>
        <v>#REF!</v>
      </c>
      <c r="TE25" s="90" t="e">
        <f t="shared" si="311"/>
        <v>#REF!</v>
      </c>
      <c r="TF25" s="90">
        <v>1439.8381166666668</v>
      </c>
      <c r="TG25" s="90">
        <f t="shared" si="312"/>
        <v>19.011820785025833</v>
      </c>
      <c r="TH25" s="95"/>
      <c r="TI25" s="95"/>
      <c r="TJ25" s="95"/>
      <c r="TK25" s="95"/>
      <c r="TL25" s="95"/>
      <c r="TM25" s="95">
        <f t="shared" si="313"/>
        <v>0</v>
      </c>
      <c r="TN25" s="95">
        <f t="shared" si="314"/>
        <v>8075.351999999999</v>
      </c>
      <c r="TO25" s="95">
        <f t="shared" si="315"/>
        <v>19.011820785025833</v>
      </c>
      <c r="TP25" s="95"/>
      <c r="TQ25" s="95">
        <f t="shared" si="316"/>
        <v>14.579999999999998</v>
      </c>
      <c r="TR25" s="95"/>
      <c r="TS25" s="95"/>
      <c r="TT25" s="95"/>
      <c r="TU25" s="95"/>
      <c r="TV25" s="95"/>
      <c r="TW25" s="95"/>
      <c r="TX25" s="95"/>
      <c r="TY25" s="95"/>
      <c r="TZ25" s="95">
        <f t="shared" si="317"/>
        <v>2.5</v>
      </c>
      <c r="UA25" s="95">
        <f t="shared" si="318"/>
        <v>0.64151999999999998</v>
      </c>
      <c r="UB25" s="90">
        <v>3.3</v>
      </c>
      <c r="UC25" s="90">
        <f t="shared" si="319"/>
        <v>2362.4699999999998</v>
      </c>
      <c r="UD25" s="90">
        <f t="shared" si="320"/>
        <v>23.86333333333333</v>
      </c>
      <c r="UE25" s="90">
        <f t="shared" si="321"/>
        <v>2338.6066666666666</v>
      </c>
      <c r="UF25" s="90">
        <f t="shared" si="322"/>
        <v>10437.821999999998</v>
      </c>
      <c r="UG25" s="91">
        <f t="shared" si="323"/>
        <v>22.63374485596708</v>
      </c>
      <c r="UH25" s="95">
        <f t="shared" si="324"/>
        <v>14.708733776069371</v>
      </c>
      <c r="UI25" s="95">
        <f t="shared" si="325"/>
        <v>10437.821999999998</v>
      </c>
      <c r="UJ25" s="101">
        <f t="shared" si="326"/>
        <v>22.63374485596708</v>
      </c>
      <c r="UK25" s="101">
        <f t="shared" si="327"/>
        <v>14.708733776069371</v>
      </c>
      <c r="UL25" s="90" t="e">
        <f>(#REF!+#REF!+HZ25+LT25+LZ25+MF25+ML25+QL25+QN25+SN25+TC25+TM25+UC25)/I25</f>
        <v>#REF!</v>
      </c>
      <c r="UN25" s="90" t="e">
        <f>#REF!/I25</f>
        <v>#REF!</v>
      </c>
      <c r="UO25" s="90" t="e">
        <f>#REF!/I25</f>
        <v>#REF!</v>
      </c>
      <c r="UP25" s="90">
        <v>1.1499999999999999</v>
      </c>
      <c r="UQ25" s="90" t="e">
        <f t="shared" si="328"/>
        <v>#REF!</v>
      </c>
      <c r="UR25" s="90">
        <f t="shared" si="329"/>
        <v>7254.47</v>
      </c>
      <c r="US25" s="90">
        <f t="shared" si="330"/>
        <v>8641.6133333333328</v>
      </c>
      <c r="UT25" s="90">
        <f t="shared" si="331"/>
        <v>8641.6133333333328</v>
      </c>
      <c r="UU25" s="90">
        <f t="shared" si="516"/>
        <v>8970.9233333333323</v>
      </c>
      <c r="UV25" s="90">
        <f t="shared" si="333"/>
        <v>8852.5133333333342</v>
      </c>
      <c r="UW25" s="90">
        <f t="shared" si="334"/>
        <v>5.8999999999999995</v>
      </c>
      <c r="UX25" s="90">
        <f t="shared" si="335"/>
        <v>3.92</v>
      </c>
      <c r="UY25" s="90">
        <f t="shared" si="336"/>
        <v>3.8019555803883223</v>
      </c>
      <c r="UZ25" s="100">
        <f t="shared" si="337"/>
        <v>3.5511981679999995</v>
      </c>
      <c r="VA25" s="90">
        <f t="shared" si="338"/>
        <v>0.64</v>
      </c>
      <c r="VB25" s="90">
        <f t="shared" si="339"/>
        <v>1.34</v>
      </c>
      <c r="VC25" s="90">
        <f t="shared" si="340"/>
        <v>0</v>
      </c>
      <c r="VD25" s="90">
        <f t="shared" si="341"/>
        <v>0</v>
      </c>
      <c r="VE25" s="90">
        <f t="shared" si="342"/>
        <v>0</v>
      </c>
      <c r="VF25" s="90">
        <f t="shared" si="343"/>
        <v>0</v>
      </c>
      <c r="VG25" s="90">
        <f t="shared" si="344"/>
        <v>0</v>
      </c>
      <c r="VH25" s="90">
        <f t="shared" si="345"/>
        <v>0</v>
      </c>
      <c r="VI25" s="90">
        <f t="shared" si="346"/>
        <v>0</v>
      </c>
      <c r="VJ25" s="90">
        <f t="shared" si="347"/>
        <v>0</v>
      </c>
      <c r="VK25" s="90">
        <f t="shared" si="348"/>
        <v>0.73</v>
      </c>
      <c r="VL25" s="90">
        <f t="shared" si="349"/>
        <v>3.64</v>
      </c>
      <c r="VM25" s="90">
        <f t="shared" si="350"/>
        <v>5.28</v>
      </c>
      <c r="VN25" s="90">
        <f t="shared" si="351"/>
        <v>0</v>
      </c>
      <c r="VO25" s="90">
        <f t="shared" si="352"/>
        <v>5.28</v>
      </c>
      <c r="VP25" s="97">
        <v>3.3</v>
      </c>
      <c r="VQ25" s="97">
        <v>5.2799999999999994</v>
      </c>
      <c r="VR25" s="90">
        <f t="shared" si="353"/>
        <v>0.44</v>
      </c>
      <c r="VS25" s="90">
        <f t="shared" si="354"/>
        <v>0.15</v>
      </c>
      <c r="VT25" s="90">
        <v>0.11989898989898991</v>
      </c>
      <c r="VU25" s="90">
        <f t="shared" si="355"/>
        <v>0.15410000000000001</v>
      </c>
      <c r="VV25" s="90">
        <v>0.38175323599898991</v>
      </c>
      <c r="VW25" s="90">
        <f t="shared" si="356"/>
        <v>0.59</v>
      </c>
      <c r="VX25" s="90">
        <f t="shared" si="357"/>
        <v>15.41</v>
      </c>
      <c r="VY25" s="90">
        <f t="shared" si="358"/>
        <v>15.41</v>
      </c>
      <c r="VZ25" s="90">
        <f t="shared" si="359"/>
        <v>0</v>
      </c>
      <c r="WA25" s="90"/>
      <c r="WB25" s="90">
        <f t="shared" si="360"/>
        <v>15.41</v>
      </c>
      <c r="WC25" s="90">
        <f t="shared" si="361"/>
        <v>0</v>
      </c>
      <c r="WD25" s="90"/>
      <c r="WE25" s="90">
        <v>15.41</v>
      </c>
      <c r="WF25" s="90"/>
      <c r="WG25" s="90">
        <f t="shared" si="362"/>
        <v>11032.019</v>
      </c>
      <c r="WH25" s="90">
        <f t="shared" si="363"/>
        <v>11032.019</v>
      </c>
      <c r="WI25" s="90">
        <f t="shared" si="364"/>
        <v>11034.42</v>
      </c>
      <c r="WJ25" s="90">
        <f t="shared" si="365"/>
        <v>7254.47</v>
      </c>
      <c r="WK25" s="97">
        <v>3779.95</v>
      </c>
      <c r="WL25" s="97">
        <v>5.28</v>
      </c>
      <c r="WM25" s="90">
        <f t="shared" si="366"/>
        <v>3779.95</v>
      </c>
      <c r="WN25" s="90">
        <f t="shared" si="367"/>
        <v>5.28</v>
      </c>
      <c r="WO25" s="90"/>
      <c r="WP25" s="97">
        <v>15.41</v>
      </c>
      <c r="WQ25" s="90">
        <f t="shared" si="368"/>
        <v>15.41</v>
      </c>
      <c r="WR25" s="91">
        <f t="shared" si="369"/>
        <v>105.69272976680386</v>
      </c>
      <c r="WS25" s="91">
        <f t="shared" si="370"/>
        <v>136.61347517730496</v>
      </c>
      <c r="WT25" s="90">
        <f t="shared" si="371"/>
        <v>11032.02</v>
      </c>
      <c r="WU25" s="90">
        <f t="shared" si="372"/>
        <v>11034.42</v>
      </c>
      <c r="WV25" s="90">
        <f t="shared" si="373"/>
        <v>-2.3999999999996362</v>
      </c>
      <c r="WW25" s="90"/>
      <c r="WX25" s="90"/>
      <c r="WY25" s="90"/>
      <c r="WZ25" s="90">
        <f t="shared" si="374"/>
        <v>5.2520434343434337</v>
      </c>
      <c r="XA25" s="90">
        <v>0</v>
      </c>
      <c r="XB25" s="90">
        <f t="shared" si="375"/>
        <v>5.2520434343434337</v>
      </c>
      <c r="XC25" s="90">
        <f t="shared" si="376"/>
        <v>0.46229999999999999</v>
      </c>
      <c r="XD25" s="90">
        <f t="shared" si="377"/>
        <v>0.15565656565656566</v>
      </c>
      <c r="XE25" s="90"/>
      <c r="XF25" s="90">
        <f t="shared" si="378"/>
        <v>15.41</v>
      </c>
      <c r="XG25" s="90">
        <v>5.3112279880802724</v>
      </c>
      <c r="XH25" s="20">
        <v>11.28</v>
      </c>
      <c r="XI25" s="20">
        <v>3.3</v>
      </c>
      <c r="XJ25" s="20"/>
      <c r="XK25" s="20"/>
      <c r="XL25" s="20"/>
      <c r="XM25" s="20">
        <f t="shared" si="379"/>
        <v>14.579999999999998</v>
      </c>
      <c r="XN25" s="91">
        <f t="shared" si="380"/>
        <v>105.69272976680386</v>
      </c>
      <c r="XO25" s="20">
        <f t="shared" si="381"/>
        <v>11.28</v>
      </c>
      <c r="XP25" s="90">
        <f t="shared" si="382"/>
        <v>11.28</v>
      </c>
      <c r="XQ25" s="91">
        <f t="shared" si="383"/>
        <v>136.61347517730496</v>
      </c>
      <c r="XR25" s="102"/>
      <c r="XS25" s="90">
        <f t="shared" si="384"/>
        <v>3.64</v>
      </c>
      <c r="XT25" s="90">
        <f t="shared" si="385"/>
        <v>5.8999999999999995</v>
      </c>
      <c r="XU25" s="90">
        <f t="shared" si="386"/>
        <v>3.92</v>
      </c>
      <c r="XV25" s="90">
        <f t="shared" si="387"/>
        <v>0.64</v>
      </c>
      <c r="XW25" s="90">
        <f t="shared" si="388"/>
        <v>0.64</v>
      </c>
      <c r="XX25" s="90">
        <f t="shared" si="389"/>
        <v>0</v>
      </c>
      <c r="XY25" s="90">
        <f t="shared" si="390"/>
        <v>1.34</v>
      </c>
      <c r="XZ25" s="90">
        <f t="shared" si="391"/>
        <v>0</v>
      </c>
      <c r="YA25" s="90">
        <f t="shared" si="392"/>
        <v>0</v>
      </c>
      <c r="YB25" s="90">
        <f t="shared" ref="YB25:YC40" si="537">VD25</f>
        <v>0</v>
      </c>
      <c r="YC25" s="90">
        <f t="shared" si="537"/>
        <v>0</v>
      </c>
      <c r="YD25" s="90">
        <f t="shared" si="394"/>
        <v>1.34</v>
      </c>
      <c r="YE25" s="90">
        <f t="shared" si="395"/>
        <v>5.28</v>
      </c>
      <c r="YF25" s="90">
        <f t="shared" si="396"/>
        <v>0.59</v>
      </c>
      <c r="YG25" s="90">
        <f t="shared" si="397"/>
        <v>15.41</v>
      </c>
      <c r="YI25" s="103" t="s">
        <v>488</v>
      </c>
      <c r="YK25" s="90">
        <f t="shared" si="398"/>
        <v>1.07</v>
      </c>
      <c r="YL25" s="90">
        <f t="shared" ref="YL25:YM40" si="538">VA25</f>
        <v>0.64</v>
      </c>
      <c r="YM25" s="90">
        <f t="shared" si="538"/>
        <v>1.34</v>
      </c>
      <c r="YN25" s="90">
        <f t="shared" si="400"/>
        <v>3.64</v>
      </c>
      <c r="YO25" s="90">
        <f t="shared" si="401"/>
        <v>8.7199999999999989</v>
      </c>
      <c r="YP25" s="90">
        <f t="shared" si="402"/>
        <v>0</v>
      </c>
      <c r="YQ25" s="90">
        <f t="shared" si="403"/>
        <v>15.41</v>
      </c>
      <c r="YR25" s="90">
        <f t="shared" si="404"/>
        <v>0</v>
      </c>
      <c r="YS25" s="104">
        <f t="shared" si="405"/>
        <v>15.409999999999998</v>
      </c>
      <c r="YT25" s="104">
        <f t="shared" si="406"/>
        <v>0</v>
      </c>
      <c r="YY25" s="90">
        <f t="shared" si="407"/>
        <v>7.29</v>
      </c>
      <c r="YZ25" s="90">
        <f t="shared" si="408"/>
        <v>4.18</v>
      </c>
      <c r="ZA25" s="90">
        <f t="shared" si="409"/>
        <v>0.56000000000000005</v>
      </c>
      <c r="ZB25" s="90">
        <f t="shared" si="410"/>
        <v>2.5499999999999998</v>
      </c>
      <c r="ZC25" s="90">
        <f t="shared" si="411"/>
        <v>0</v>
      </c>
      <c r="ZD25" s="90">
        <f t="shared" si="412"/>
        <v>0</v>
      </c>
      <c r="ZE25" s="90">
        <f t="shared" si="413"/>
        <v>0</v>
      </c>
      <c r="ZF25" s="90">
        <f t="shared" si="414"/>
        <v>0</v>
      </c>
      <c r="ZG25" s="90">
        <f t="shared" si="415"/>
        <v>0</v>
      </c>
      <c r="ZH25" s="90">
        <f t="shared" si="416"/>
        <v>0</v>
      </c>
      <c r="ZI25" s="90">
        <f t="shared" si="417"/>
        <v>0</v>
      </c>
      <c r="ZJ25" s="90">
        <f t="shared" si="418"/>
        <v>0</v>
      </c>
      <c r="ZK25" s="90">
        <f t="shared" si="419"/>
        <v>0</v>
      </c>
      <c r="ZL25" s="90">
        <f t="shared" si="420"/>
        <v>0.02</v>
      </c>
      <c r="ZM25" s="90">
        <f t="shared" si="421"/>
        <v>4.1100000000000003</v>
      </c>
      <c r="ZN25" s="90">
        <f t="shared" si="422"/>
        <v>6.8599999999999994</v>
      </c>
      <c r="ZO25" s="90">
        <f t="shared" si="423"/>
        <v>6.62</v>
      </c>
      <c r="ZP25" s="90">
        <f t="shared" si="424"/>
        <v>4.3099999999999996</v>
      </c>
      <c r="ZQ25" s="90">
        <f t="shared" si="425"/>
        <v>0</v>
      </c>
      <c r="ZR25" s="90">
        <f t="shared" si="426"/>
        <v>4.3099999999999996</v>
      </c>
      <c r="ZS25" s="97">
        <v>227</v>
      </c>
      <c r="ZT25" s="97">
        <v>230.38</v>
      </c>
      <c r="ZU25" s="90">
        <f t="shared" si="427"/>
        <v>0.49</v>
      </c>
      <c r="ZV25" s="90">
        <f t="shared" si="428"/>
        <v>0.17</v>
      </c>
      <c r="ZW25" s="90">
        <v>0.11989898989898991</v>
      </c>
      <c r="ZX25" s="90">
        <f t="shared" si="429"/>
        <v>0.16370000000000001</v>
      </c>
      <c r="ZY25" s="90">
        <v>0.38175323599898991</v>
      </c>
      <c r="ZZ25" s="90">
        <f t="shared" si="430"/>
        <v>0.66</v>
      </c>
      <c r="AAA25" s="90">
        <f t="shared" si="431"/>
        <v>16.37</v>
      </c>
      <c r="AAB25" s="90">
        <f t="shared" si="432"/>
        <v>16.37</v>
      </c>
      <c r="AAC25" s="90">
        <f t="shared" si="433"/>
        <v>0</v>
      </c>
      <c r="AAD25" s="90"/>
      <c r="AAE25" s="90">
        <f t="shared" si="434"/>
        <v>16.37</v>
      </c>
      <c r="AAF25" s="90">
        <v>15.41</v>
      </c>
      <c r="AAG25" s="90">
        <f t="shared" si="435"/>
        <v>106.22972096041532</v>
      </c>
      <c r="AAH25" s="90">
        <f t="shared" si="436"/>
        <v>0</v>
      </c>
      <c r="AAI25" s="90">
        <v>0</v>
      </c>
      <c r="AAJ25" s="90"/>
      <c r="AAK25" s="1">
        <v>16.3</v>
      </c>
      <c r="AAL25" s="104">
        <f t="shared" si="437"/>
        <v>7.0000000000000284E-2</v>
      </c>
      <c r="AAM25" s="103" t="s">
        <v>439</v>
      </c>
      <c r="AAN25" s="105">
        <v>7.4599999999999991</v>
      </c>
      <c r="AAO25" s="90">
        <f t="shared" si="438"/>
        <v>8.0500000000000007</v>
      </c>
      <c r="AAP25" s="90">
        <v>4.21</v>
      </c>
      <c r="AAQ25" s="90">
        <f t="shared" si="439"/>
        <v>4.18</v>
      </c>
      <c r="AAR25" s="90">
        <v>0.56000000000000005</v>
      </c>
      <c r="AAS25" s="90">
        <f t="shared" si="440"/>
        <v>0.86</v>
      </c>
      <c r="AAT25" s="90">
        <f t="shared" si="441"/>
        <v>153.57142857142856</v>
      </c>
      <c r="AAU25" s="90">
        <v>2.69</v>
      </c>
      <c r="AAV25" s="90">
        <f t="shared" si="442"/>
        <v>2.5499999999999998</v>
      </c>
      <c r="AAW25" s="90">
        <f t="shared" si="443"/>
        <v>94.795539033457246</v>
      </c>
      <c r="AAX25" s="90">
        <f t="shared" si="444"/>
        <v>0.46</v>
      </c>
      <c r="AAY25" s="90">
        <f t="shared" si="445"/>
        <v>0</v>
      </c>
      <c r="AAZ25" s="90">
        <f t="shared" si="446"/>
        <v>0</v>
      </c>
      <c r="ABA25" s="90">
        <f t="shared" si="447"/>
        <v>0</v>
      </c>
      <c r="ABB25" s="90">
        <f t="shared" si="448"/>
        <v>0</v>
      </c>
      <c r="ABC25" s="90">
        <v>0</v>
      </c>
      <c r="ABD25" s="90">
        <f t="shared" si="449"/>
        <v>0</v>
      </c>
      <c r="ABE25" s="90"/>
      <c r="ABF25" s="90">
        <v>0</v>
      </c>
      <c r="ABG25" s="90">
        <f t="shared" si="450"/>
        <v>0</v>
      </c>
      <c r="ABH25" s="90"/>
      <c r="ABI25" s="90">
        <f t="shared" si="451"/>
        <v>0</v>
      </c>
      <c r="ABJ25" s="90">
        <f t="shared" si="452"/>
        <v>0</v>
      </c>
      <c r="ABK25" s="90">
        <v>0</v>
      </c>
      <c r="ABL25" s="90">
        <f t="shared" si="453"/>
        <v>0</v>
      </c>
      <c r="ABM25" s="90">
        <f t="shared" si="454"/>
        <v>0</v>
      </c>
      <c r="ABN25" s="90">
        <f t="shared" si="455"/>
        <v>0.02</v>
      </c>
      <c r="ABO25" s="90">
        <v>3.91</v>
      </c>
      <c r="ABP25" s="90">
        <f t="shared" si="456"/>
        <v>4.1100000000000003</v>
      </c>
      <c r="ABQ25" s="90">
        <f t="shared" si="457"/>
        <v>105.1150895140665</v>
      </c>
      <c r="ABR25" s="90">
        <f t="shared" si="458"/>
        <v>6.8599999999999994</v>
      </c>
      <c r="ABS25" s="90">
        <f t="shared" si="459"/>
        <v>6.62</v>
      </c>
      <c r="ABT25" s="90">
        <v>4.3</v>
      </c>
      <c r="ABU25" s="90">
        <f t="shared" si="460"/>
        <v>4.3099999999999996</v>
      </c>
      <c r="ABV25" s="90">
        <f t="shared" si="461"/>
        <v>100.23255813953489</v>
      </c>
      <c r="ABW25" s="90">
        <f t="shared" si="462"/>
        <v>0</v>
      </c>
      <c r="ABX25" s="90">
        <f t="shared" si="463"/>
        <v>4.3099999999999996</v>
      </c>
      <c r="ABY25" s="97">
        <v>227</v>
      </c>
      <c r="ABZ25" s="97">
        <v>230.38</v>
      </c>
      <c r="ACA25" s="90">
        <f t="shared" si="464"/>
        <v>0.49</v>
      </c>
      <c r="ACB25" s="90">
        <f t="shared" si="465"/>
        <v>0.17</v>
      </c>
      <c r="ACC25" s="90">
        <v>0.11989898989898991</v>
      </c>
      <c r="ACD25" s="90">
        <f t="shared" si="466"/>
        <v>0.16669999999999999</v>
      </c>
      <c r="ACE25" s="90">
        <v>0.38175323599898991</v>
      </c>
      <c r="ACF25" s="90">
        <v>0.63</v>
      </c>
      <c r="ACG25" s="90">
        <f t="shared" si="467"/>
        <v>0.66</v>
      </c>
      <c r="ACH25" s="90">
        <f t="shared" si="468"/>
        <v>104.76190476190477</v>
      </c>
      <c r="ACI25" s="90">
        <f t="shared" si="469"/>
        <v>17.13</v>
      </c>
      <c r="ACJ25" s="90">
        <f t="shared" si="470"/>
        <v>16.669999999999998</v>
      </c>
      <c r="ACK25" s="90">
        <f t="shared" si="471"/>
        <v>-0.46000000000000085</v>
      </c>
      <c r="ACL25" s="90"/>
      <c r="ACM25" s="90">
        <f t="shared" si="472"/>
        <v>17.13</v>
      </c>
      <c r="ACN25" s="90">
        <f t="shared" si="473"/>
        <v>0</v>
      </c>
      <c r="ACO25" s="90">
        <f t="shared" si="474"/>
        <v>17.13</v>
      </c>
      <c r="ACP25" s="90">
        <v>16.299999999999997</v>
      </c>
      <c r="ACQ25" s="90">
        <f t="shared" si="475"/>
        <v>105.09202453987731</v>
      </c>
      <c r="ACR25" s="90">
        <f t="shared" si="476"/>
        <v>0</v>
      </c>
      <c r="ACS25" s="90">
        <v>0</v>
      </c>
      <c r="ACT25" s="90"/>
      <c r="ACU25" s="90">
        <f t="shared" si="477"/>
        <v>17.131299999999996</v>
      </c>
      <c r="ACV25" s="90">
        <f t="shared" si="478"/>
        <v>1.2999999999969702E-3</v>
      </c>
      <c r="ACX25" s="106" t="s">
        <v>489</v>
      </c>
      <c r="ACY25" s="107">
        <f>55000</f>
        <v>55000</v>
      </c>
      <c r="ACZ25" s="107">
        <v>55000</v>
      </c>
      <c r="ADB25" s="90">
        <f t="shared" si="479"/>
        <v>4.1100000000000003</v>
      </c>
      <c r="ADC25" s="90">
        <f t="shared" si="480"/>
        <v>8.0500000000000007</v>
      </c>
      <c r="ADD25" s="90">
        <f t="shared" si="481"/>
        <v>4.18</v>
      </c>
      <c r="ADE25" s="90">
        <f t="shared" si="517"/>
        <v>1.32</v>
      </c>
      <c r="ADF25" s="90">
        <f t="shared" si="483"/>
        <v>0.86</v>
      </c>
      <c r="ADG25" s="90">
        <f t="shared" ref="ADG25:ADI40" si="539">AAX25</f>
        <v>0.46</v>
      </c>
      <c r="ADH25" s="90">
        <f t="shared" si="539"/>
        <v>0</v>
      </c>
      <c r="ADI25" s="90">
        <f t="shared" si="539"/>
        <v>0</v>
      </c>
      <c r="ADJ25" s="90">
        <f t="shared" si="485"/>
        <v>2.5499999999999998</v>
      </c>
      <c r="ADK25" s="90">
        <f t="shared" si="486"/>
        <v>0</v>
      </c>
      <c r="ADL25" s="90">
        <f t="shared" si="487"/>
        <v>0</v>
      </c>
      <c r="ADM25" s="90">
        <f t="shared" ref="ADM25:ADN40" si="540">ABA25</f>
        <v>0</v>
      </c>
      <c r="ADN25" s="90">
        <f t="shared" si="540"/>
        <v>0</v>
      </c>
      <c r="ADO25" s="90">
        <f t="shared" si="489"/>
        <v>2.5499999999999998</v>
      </c>
      <c r="ADP25" s="90">
        <f t="shared" si="490"/>
        <v>4.3099999999999996</v>
      </c>
      <c r="ADQ25" s="90">
        <f t="shared" si="491"/>
        <v>0.66</v>
      </c>
      <c r="ADR25" s="90">
        <f t="shared" si="492"/>
        <v>17.13</v>
      </c>
      <c r="ADU25" s="90">
        <f t="shared" si="493"/>
        <v>1.1499999999999999</v>
      </c>
      <c r="ADV25" s="90">
        <f t="shared" si="494"/>
        <v>0.86</v>
      </c>
      <c r="ADW25" s="90">
        <f t="shared" si="495"/>
        <v>2.5499999999999998</v>
      </c>
      <c r="ADX25" s="90">
        <f t="shared" si="496"/>
        <v>4.1100000000000003</v>
      </c>
      <c r="ADY25" s="90">
        <f t="shared" si="497"/>
        <v>8</v>
      </c>
      <c r="ADZ25" s="90">
        <f t="shared" si="498"/>
        <v>0</v>
      </c>
      <c r="AEA25" s="90">
        <f t="shared" si="499"/>
        <v>17.13</v>
      </c>
      <c r="AEB25" s="90">
        <f t="shared" si="500"/>
        <v>0</v>
      </c>
      <c r="AEC25" s="104">
        <f t="shared" si="501"/>
        <v>16.670000000000002</v>
      </c>
      <c r="AED25" s="104">
        <f t="shared" si="502"/>
        <v>0.4599999999999973</v>
      </c>
      <c r="AEG25" s="1">
        <v>7.4599999999999991</v>
      </c>
      <c r="AEH25" s="1">
        <v>4.21</v>
      </c>
      <c r="AEI25" s="1">
        <v>0.56000000000000005</v>
      </c>
      <c r="AEJ25" s="1">
        <v>2.69</v>
      </c>
      <c r="AEK25" s="1">
        <v>0</v>
      </c>
      <c r="AEL25" s="1">
        <v>0</v>
      </c>
      <c r="AEM25" s="1">
        <v>0</v>
      </c>
      <c r="AEN25" s="1">
        <v>0</v>
      </c>
      <c r="AEO25" s="1">
        <v>0</v>
      </c>
      <c r="AEP25" s="1">
        <v>0</v>
      </c>
      <c r="AEQ25" s="1">
        <v>0</v>
      </c>
      <c r="AER25" s="1">
        <v>0</v>
      </c>
      <c r="AES25" s="1">
        <v>0</v>
      </c>
      <c r="AET25" s="1">
        <v>0</v>
      </c>
      <c r="AEU25" s="1">
        <v>0</v>
      </c>
      <c r="AEV25" s="1">
        <v>0.02</v>
      </c>
      <c r="AEW25" s="1">
        <v>3.91</v>
      </c>
      <c r="AEX25" s="1">
        <v>6.99</v>
      </c>
      <c r="AEY25" s="1">
        <v>6.62</v>
      </c>
      <c r="AEZ25" s="1">
        <v>4.3</v>
      </c>
      <c r="AFA25" s="1">
        <v>0</v>
      </c>
      <c r="AFB25" s="1">
        <v>4.3</v>
      </c>
      <c r="AFC25" s="1">
        <v>227</v>
      </c>
      <c r="AFD25" s="1">
        <v>230.38</v>
      </c>
      <c r="AFE25" s="1">
        <v>0.47</v>
      </c>
      <c r="AFF25" s="1">
        <v>0.16</v>
      </c>
      <c r="AFG25" s="1">
        <v>0.11989898989898991</v>
      </c>
      <c r="AFH25" s="1">
        <v>0.16299999999999998</v>
      </c>
      <c r="AFI25" s="1">
        <v>0.38175323599898991</v>
      </c>
      <c r="AFJ25" s="1">
        <v>0.63</v>
      </c>
      <c r="AFK25" s="1">
        <v>16.299999999999997</v>
      </c>
      <c r="AFL25" s="1">
        <v>16.299999999999997</v>
      </c>
      <c r="AFM25" s="1">
        <v>0</v>
      </c>
      <c r="AFO25" s="1">
        <v>16.299999999999997</v>
      </c>
      <c r="AFP25" s="1">
        <v>0</v>
      </c>
      <c r="AFQ25" s="1">
        <v>16.3</v>
      </c>
      <c r="AFX25" s="1">
        <v>16.86</v>
      </c>
    </row>
    <row r="26" spans="1:856" s="1" customFormat="1" ht="63.75" customHeight="1">
      <c r="A26" s="88">
        <v>18</v>
      </c>
      <c r="B26" s="20"/>
      <c r="C26" s="89" t="s">
        <v>490</v>
      </c>
      <c r="D26" s="20"/>
      <c r="E26" s="20" t="s">
        <v>437</v>
      </c>
      <c r="F26" s="20" t="s">
        <v>438</v>
      </c>
      <c r="G26" s="20">
        <v>0.8</v>
      </c>
      <c r="H26" s="20">
        <v>989.3</v>
      </c>
      <c r="I26" s="20">
        <f>989.3-0.5-0.3-0.5</f>
        <v>988</v>
      </c>
      <c r="J26" s="20">
        <f t="shared" si="0"/>
        <v>790.40000000000009</v>
      </c>
      <c r="K26" s="20">
        <v>18</v>
      </c>
      <c r="L26" s="20">
        <v>35</v>
      </c>
      <c r="M26" s="20">
        <v>38</v>
      </c>
      <c r="N26" s="20">
        <v>937.21</v>
      </c>
      <c r="O26" s="90">
        <f t="shared" si="1"/>
        <v>0.95</v>
      </c>
      <c r="P26" s="20">
        <v>3404</v>
      </c>
      <c r="Q26" s="90">
        <f>P26/12</f>
        <v>283.66666666666669</v>
      </c>
      <c r="R26" s="90">
        <f t="shared" si="2"/>
        <v>0.28999999999999998</v>
      </c>
      <c r="S26" s="20">
        <v>87.7</v>
      </c>
      <c r="T26" s="20">
        <v>2.6</v>
      </c>
      <c r="U26" s="20">
        <v>3.13</v>
      </c>
      <c r="V26" s="91">
        <f t="shared" si="3"/>
        <v>713.7</v>
      </c>
      <c r="W26" s="20">
        <v>2.1000000000000001E-2</v>
      </c>
      <c r="X26" s="20">
        <f t="shared" si="4"/>
        <v>33.42</v>
      </c>
      <c r="Y26" s="91">
        <f t="shared" si="5"/>
        <v>61.55</v>
      </c>
      <c r="Z26" s="20"/>
      <c r="AA26" s="20"/>
      <c r="AB26" s="20"/>
      <c r="AC26" s="91">
        <f t="shared" si="6"/>
        <v>775.25</v>
      </c>
      <c r="AD26" s="90">
        <f t="shared" si="7"/>
        <v>0.78</v>
      </c>
      <c r="AE26" s="92">
        <f t="shared" si="8"/>
        <v>9303</v>
      </c>
      <c r="AF26" s="20">
        <v>34</v>
      </c>
      <c r="AG26" s="20">
        <v>33</v>
      </c>
      <c r="AH26" s="20">
        <v>33</v>
      </c>
      <c r="AI26" s="20">
        <v>32</v>
      </c>
      <c r="AJ26" s="20">
        <v>1.6</v>
      </c>
      <c r="AK26" s="90">
        <f t="shared" si="9"/>
        <v>4.4000000000000004</v>
      </c>
      <c r="AL26" s="90">
        <v>391.01</v>
      </c>
      <c r="AM26" s="90">
        <f t="shared" si="10"/>
        <v>1720.44</v>
      </c>
      <c r="AN26" s="20">
        <v>34</v>
      </c>
      <c r="AO26" s="20">
        <v>32</v>
      </c>
      <c r="AP26" s="20">
        <v>34</v>
      </c>
      <c r="AQ26" s="20">
        <v>34</v>
      </c>
      <c r="AR26" s="20">
        <v>32</v>
      </c>
      <c r="AS26" s="20">
        <v>35</v>
      </c>
      <c r="AT26" s="20">
        <f t="shared" si="11"/>
        <v>1</v>
      </c>
      <c r="AU26" s="20">
        <v>1.6</v>
      </c>
      <c r="AV26" s="90">
        <f t="shared" si="12"/>
        <v>4.53</v>
      </c>
      <c r="AW26" s="90">
        <f t="shared" si="523"/>
        <v>188.88</v>
      </c>
      <c r="AX26" s="90">
        <v>881.44</v>
      </c>
      <c r="AY26" s="90">
        <f t="shared" si="14"/>
        <v>0.89</v>
      </c>
      <c r="AZ26" s="90">
        <f t="shared" si="15"/>
        <v>1772.58</v>
      </c>
      <c r="BA26" s="90">
        <f t="shared" si="16"/>
        <v>-891.13999999999987</v>
      </c>
      <c r="BB26" s="90">
        <v>881.44</v>
      </c>
      <c r="BC26" s="90">
        <v>0.89</v>
      </c>
      <c r="BD26" s="92">
        <f t="shared" si="17"/>
        <v>10577.28</v>
      </c>
      <c r="BE26" s="90"/>
      <c r="BF26" s="90">
        <f t="shared" si="18"/>
        <v>0</v>
      </c>
      <c r="BG26" s="90">
        <v>391.01</v>
      </c>
      <c r="BH26" s="90">
        <f t="shared" si="19"/>
        <v>1771.28</v>
      </c>
      <c r="BI26" s="90">
        <f t="shared" si="20"/>
        <v>1.79</v>
      </c>
      <c r="BJ26" s="90">
        <f t="shared" si="21"/>
        <v>201.12359550561797</v>
      </c>
      <c r="BK26" s="90">
        <f t="shared" si="22"/>
        <v>1771.28</v>
      </c>
      <c r="BL26" s="90">
        <f t="shared" si="23"/>
        <v>1.79</v>
      </c>
      <c r="BM26" s="90"/>
      <c r="BN26" s="90">
        <f t="shared" si="24"/>
        <v>0</v>
      </c>
      <c r="BO26" s="90">
        <f t="shared" si="25"/>
        <v>1771.28</v>
      </c>
      <c r="BP26" s="90">
        <f t="shared" si="26"/>
        <v>1.7927935222672065</v>
      </c>
      <c r="BQ26" s="90"/>
      <c r="BR26" s="90">
        <f t="shared" si="27"/>
        <v>0</v>
      </c>
      <c r="BS26" s="90">
        <f t="shared" si="28"/>
        <v>1771.28</v>
      </c>
      <c r="BT26" s="90">
        <f t="shared" si="29"/>
        <v>1.7927935222672065</v>
      </c>
      <c r="BU26" s="90"/>
      <c r="BV26" s="93">
        <v>1.4356370000000001</v>
      </c>
      <c r="BW26" s="90">
        <f t="shared" si="30"/>
        <v>1418.4093560000001</v>
      </c>
      <c r="BX26" s="90">
        <f t="shared" si="31"/>
        <v>1503.5139173600003</v>
      </c>
      <c r="BY26" s="90"/>
      <c r="BZ26" s="90"/>
      <c r="CA26" s="90">
        <v>0.2651</v>
      </c>
      <c r="CB26" s="90">
        <f t="shared" si="518"/>
        <v>261.91879999999998</v>
      </c>
      <c r="CC26" s="90">
        <v>0.71072749999999996</v>
      </c>
      <c r="CD26" s="90">
        <f t="shared" si="33"/>
        <v>186.15289392699998</v>
      </c>
      <c r="CE26" s="90">
        <f t="shared" si="34"/>
        <v>281.48207907863468</v>
      </c>
      <c r="CF26" s="90">
        <v>274.79409319217285</v>
      </c>
      <c r="CG26" s="90">
        <v>274.79409319217285</v>
      </c>
      <c r="CH26" s="90">
        <f t="shared" si="35"/>
        <v>287.98</v>
      </c>
      <c r="CI26" s="90">
        <f t="shared" si="524"/>
        <v>302.23635062505133</v>
      </c>
      <c r="CJ26" s="90">
        <f t="shared" si="36"/>
        <v>303.82</v>
      </c>
      <c r="CK26" s="90">
        <f t="shared" si="37"/>
        <v>321.32496224347551</v>
      </c>
      <c r="CL26" s="90">
        <f t="shared" si="38"/>
        <v>321.32496224347551</v>
      </c>
      <c r="CM26" s="94">
        <v>0.14899999999999999</v>
      </c>
      <c r="CN26" s="90">
        <f t="shared" si="39"/>
        <v>211.34299404400002</v>
      </c>
      <c r="CO26" s="90">
        <f t="shared" si="40"/>
        <v>224.02357368664005</v>
      </c>
      <c r="CP26" s="90"/>
      <c r="CQ26" s="90">
        <v>3.9539251999999997E-2</v>
      </c>
      <c r="CR26" s="90">
        <f t="shared" si="519"/>
        <v>39.064780975999994</v>
      </c>
      <c r="CS26" s="90">
        <v>0.71072749999999996</v>
      </c>
      <c r="CT26" s="90">
        <f t="shared" si="42"/>
        <v>27.764414121120033</v>
      </c>
      <c r="CU26" s="90">
        <f t="shared" si="43"/>
        <v>41.982613572893484</v>
      </c>
      <c r="CV26" s="90">
        <v>84.912260294595171</v>
      </c>
      <c r="CW26" s="90">
        <f t="shared" si="44"/>
        <v>88.99</v>
      </c>
      <c r="CX26" s="90">
        <f t="shared" si="525"/>
        <v>93.395419272599881</v>
      </c>
      <c r="CY26" s="90">
        <f t="shared" si="45"/>
        <v>93.88</v>
      </c>
      <c r="CZ26" s="90">
        <f t="shared" si="46"/>
        <v>99.29407733192194</v>
      </c>
      <c r="DA26" s="90">
        <f t="shared" si="47"/>
        <v>99.29407733192194</v>
      </c>
      <c r="DB26" s="93">
        <v>1.4169099999999999</v>
      </c>
      <c r="DC26" s="90">
        <f t="shared" si="48"/>
        <v>1399.90708</v>
      </c>
      <c r="DD26" s="90">
        <f t="shared" si="49"/>
        <v>1483.9015048000001</v>
      </c>
      <c r="DE26" s="90"/>
      <c r="DF26" s="90"/>
      <c r="DG26" s="90">
        <v>0.16261500000000001</v>
      </c>
      <c r="DH26" s="90">
        <f t="shared" si="520"/>
        <v>160.66362000000001</v>
      </c>
      <c r="DI26" s="90">
        <v>0.71072749999999996</v>
      </c>
      <c r="DJ26" s="90">
        <f t="shared" si="51"/>
        <v>114.18805298354999</v>
      </c>
      <c r="DK26" s="90">
        <f t="shared" si="52"/>
        <v>172.66393168378795</v>
      </c>
      <c r="DL26" s="90">
        <v>136.59290327807236</v>
      </c>
      <c r="DM26" s="90">
        <f t="shared" si="53"/>
        <v>143.15</v>
      </c>
      <c r="DN26" s="90">
        <f t="shared" si="526"/>
        <v>150.2365914020977</v>
      </c>
      <c r="DO26" s="90">
        <f t="shared" si="54"/>
        <v>151.02000000000001</v>
      </c>
      <c r="DP26" s="90">
        <f t="shared" si="55"/>
        <v>159.72521822749331</v>
      </c>
      <c r="DQ26" s="90">
        <f t="shared" si="56"/>
        <v>159.72521822749331</v>
      </c>
      <c r="DR26" s="93">
        <v>5.6880149999999997E-2</v>
      </c>
      <c r="DS26" s="90">
        <f t="shared" si="57"/>
        <v>56.197588199999998</v>
      </c>
      <c r="DT26" s="90">
        <f t="shared" si="58"/>
        <v>59.569443492000005</v>
      </c>
      <c r="DU26" s="90"/>
      <c r="DV26" s="90">
        <v>6.1506E-3</v>
      </c>
      <c r="DW26" s="90">
        <f t="shared" si="521"/>
        <v>6.0767927999999998</v>
      </c>
      <c r="DX26" s="90">
        <v>0.71072749999999996</v>
      </c>
      <c r="DY26" s="90">
        <f t="shared" si="60"/>
        <v>4.3189437547619995</v>
      </c>
      <c r="DZ26" s="90">
        <f t="shared" si="61"/>
        <v>6.5306815374615264</v>
      </c>
      <c r="EA26" s="90">
        <f t="shared" si="62"/>
        <v>6.84</v>
      </c>
      <c r="EB26" s="90">
        <f t="shared" si="527"/>
        <v>7.1786118420562222</v>
      </c>
      <c r="EC26" s="90">
        <f t="shared" si="63"/>
        <v>7.22</v>
      </c>
      <c r="ED26" s="90">
        <f t="shared" si="64"/>
        <v>7.6319978531334556</v>
      </c>
      <c r="EE26" s="90">
        <f t="shared" si="65"/>
        <v>7.6319978531334556</v>
      </c>
      <c r="EF26" s="94">
        <v>0.85293354333000004</v>
      </c>
      <c r="EG26" s="90">
        <f t="shared" si="66"/>
        <v>674.15867264803217</v>
      </c>
      <c r="EH26" s="90">
        <f t="shared" si="67"/>
        <v>714.60819300691412</v>
      </c>
      <c r="EI26" s="90"/>
      <c r="EJ26" s="90">
        <v>0.58975</v>
      </c>
      <c r="EK26" s="90">
        <f t="shared" si="68"/>
        <v>466.13840000000005</v>
      </c>
      <c r="EL26" s="90">
        <v>0.71072749999999996</v>
      </c>
      <c r="EM26" s="90">
        <f t="shared" si="69"/>
        <v>331.297379686</v>
      </c>
      <c r="EN26" s="90">
        <f t="shared" si="70"/>
        <v>500.95528068389234</v>
      </c>
      <c r="EO26" s="90">
        <v>488.55390636366991</v>
      </c>
      <c r="EP26" s="90">
        <f t="shared" si="71"/>
        <v>512</v>
      </c>
      <c r="EQ26" s="90">
        <f t="shared" si="528"/>
        <v>537.34638349894533</v>
      </c>
      <c r="ER26" s="90">
        <f t="shared" si="72"/>
        <v>540.16</v>
      </c>
      <c r="ES26" s="90">
        <f t="shared" si="73"/>
        <v>571.2840498251943</v>
      </c>
      <c r="ET26" s="90">
        <f t="shared" si="74"/>
        <v>571.2840498251943</v>
      </c>
      <c r="EU26" s="94">
        <v>0.14899999999999999</v>
      </c>
      <c r="EV26" s="90">
        <f t="shared" si="75"/>
        <v>100.44964222455678</v>
      </c>
      <c r="EW26" s="90">
        <f t="shared" si="76"/>
        <v>106.47662075803019</v>
      </c>
      <c r="EX26" s="90"/>
      <c r="EY26" s="90">
        <v>8.7870000000000004E-2</v>
      </c>
      <c r="EZ26" s="90">
        <f t="shared" si="77"/>
        <v>69.452448000000004</v>
      </c>
      <c r="FA26" s="90">
        <v>0.71072749999999996</v>
      </c>
      <c r="FB26" s="90">
        <f t="shared" si="78"/>
        <v>49.361764735919998</v>
      </c>
      <c r="FC26" s="90">
        <f t="shared" si="79"/>
        <v>74.640000871036236</v>
      </c>
      <c r="FD26" s="90">
        <v>151.06880523300725</v>
      </c>
      <c r="FE26" s="90">
        <f t="shared" si="80"/>
        <v>158.32</v>
      </c>
      <c r="FF26" s="90">
        <f t="shared" si="529"/>
        <v>166.15757702256451</v>
      </c>
      <c r="FG26" s="90">
        <f t="shared" si="81"/>
        <v>167.03</v>
      </c>
      <c r="FH26" s="90">
        <f t="shared" si="82"/>
        <v>176.65173978188434</v>
      </c>
      <c r="FI26" s="90">
        <f t="shared" si="83"/>
        <v>176.65173978188434</v>
      </c>
      <c r="FJ26" s="93">
        <v>0.49981642240000002</v>
      </c>
      <c r="FK26" s="90">
        <f t="shared" si="84"/>
        <v>395.05490026496005</v>
      </c>
      <c r="FL26" s="90">
        <f t="shared" si="85"/>
        <v>418.75819428085765</v>
      </c>
      <c r="FM26" s="90"/>
      <c r="FN26" s="90">
        <v>0.35812500000000003</v>
      </c>
      <c r="FO26" s="90">
        <f t="shared" si="86"/>
        <v>283.06200000000007</v>
      </c>
      <c r="FP26" s="90">
        <v>0.71072749999999996</v>
      </c>
      <c r="FQ26" s="90">
        <f t="shared" si="87"/>
        <v>201.17994760500002</v>
      </c>
      <c r="FR26" s="90">
        <f t="shared" si="88"/>
        <v>304.20451020757775</v>
      </c>
      <c r="FS26" s="90">
        <v>239.80591226259702</v>
      </c>
      <c r="FT26" s="90">
        <f t="shared" si="89"/>
        <v>251.32</v>
      </c>
      <c r="FU26" s="90">
        <v>240.00644773630546</v>
      </c>
      <c r="FV26" s="90">
        <f t="shared" si="90"/>
        <v>251.53</v>
      </c>
      <c r="FW26" s="90">
        <f t="shared" si="530"/>
        <v>263.9819059404096</v>
      </c>
      <c r="FX26" s="90">
        <f t="shared" si="91"/>
        <v>265.36</v>
      </c>
      <c r="FY26" s="90">
        <f t="shared" si="92"/>
        <v>280.65444736822485</v>
      </c>
      <c r="FZ26" s="90">
        <f t="shared" si="93"/>
        <v>280.65444736822485</v>
      </c>
      <c r="GA26" s="94">
        <v>1.352261642E-2</v>
      </c>
      <c r="GB26" s="90">
        <f t="shared" si="94"/>
        <v>10.688276018368001</v>
      </c>
      <c r="GC26" s="90">
        <f t="shared" si="95"/>
        <v>11.329572579470081</v>
      </c>
      <c r="GD26" s="90"/>
      <c r="GE26" s="90">
        <v>1.0749999999999999E-2</v>
      </c>
      <c r="GF26" s="90">
        <f t="shared" si="96"/>
        <v>8.4968000000000004</v>
      </c>
      <c r="GG26" s="90">
        <v>0.71072749999999996</v>
      </c>
      <c r="GH26" s="90">
        <f t="shared" si="97"/>
        <v>6.0389094219999997</v>
      </c>
      <c r="GI26" s="90">
        <f t="shared" si="98"/>
        <v>9.1314442854630649</v>
      </c>
      <c r="GJ26" s="90">
        <f t="shared" si="99"/>
        <v>9.57</v>
      </c>
      <c r="GK26" s="90">
        <f t="shared" si="531"/>
        <v>10.043759550947083</v>
      </c>
      <c r="GL26" s="90">
        <f t="shared" si="100"/>
        <v>10.1</v>
      </c>
      <c r="GM26" s="90">
        <f t="shared" si="101"/>
        <v>10.678102259427948</v>
      </c>
      <c r="GN26" s="90">
        <f t="shared" si="102"/>
        <v>10.678102259427948</v>
      </c>
      <c r="GO26" s="90">
        <v>3628.8</v>
      </c>
      <c r="GP26" s="90">
        <f t="shared" si="103"/>
        <v>302.40000000000003</v>
      </c>
      <c r="GQ26" s="90">
        <f>2381.4+138.6</f>
        <v>2520</v>
      </c>
      <c r="GR26" s="90">
        <f t="shared" si="104"/>
        <v>210</v>
      </c>
      <c r="GS26" s="90">
        <f t="shared" si="105"/>
        <v>512.40000000000009</v>
      </c>
      <c r="GT26" s="90">
        <f t="shared" si="106"/>
        <v>0.52</v>
      </c>
      <c r="GU26" s="90">
        <v>3454.2</v>
      </c>
      <c r="GV26" s="90">
        <f>1881+110.2</f>
        <v>1991.2</v>
      </c>
      <c r="GW26" s="90">
        <f t="shared" si="107"/>
        <v>453.7833333333333</v>
      </c>
      <c r="GX26" s="90">
        <f t="shared" si="108"/>
        <v>0.46</v>
      </c>
      <c r="GY26" s="90">
        <v>6173.1</v>
      </c>
      <c r="GZ26" s="90">
        <f>2000.7+117.8</f>
        <v>2118.5</v>
      </c>
      <c r="HA26" s="90">
        <f t="shared" si="109"/>
        <v>690.9666666666667</v>
      </c>
      <c r="HB26" s="90">
        <f t="shared" si="110"/>
        <v>0.7</v>
      </c>
      <c r="HC26" s="90">
        <v>6173.1</v>
      </c>
      <c r="HD26" s="90">
        <f>2000.7+117.8</f>
        <v>2118.5</v>
      </c>
      <c r="HE26" s="90">
        <f t="shared" si="111"/>
        <v>690.9666666666667</v>
      </c>
      <c r="HF26" s="90">
        <f t="shared" si="112"/>
        <v>0.7</v>
      </c>
      <c r="HG26" s="90"/>
      <c r="HH26" s="90"/>
      <c r="HI26" s="90">
        <v>0.96</v>
      </c>
      <c r="HJ26" s="90">
        <f t="shared" si="113"/>
        <v>948.48</v>
      </c>
      <c r="HK26" s="90">
        <f t="shared" si="114"/>
        <v>1.006082995951417</v>
      </c>
      <c r="HL26" s="90">
        <f t="shared" si="115"/>
        <v>994.01</v>
      </c>
      <c r="HM26" s="90">
        <v>1.07</v>
      </c>
      <c r="HN26" s="90">
        <f t="shared" si="116"/>
        <v>1057.1600000000001</v>
      </c>
      <c r="HO26" s="90">
        <v>1.1499999999999999</v>
      </c>
      <c r="HP26" s="90">
        <f t="shared" si="117"/>
        <v>1136.2</v>
      </c>
      <c r="HQ26" s="90">
        <v>1.1499999999999999</v>
      </c>
      <c r="HR26" s="90">
        <f t="shared" si="118"/>
        <v>1136.2</v>
      </c>
      <c r="HS26" s="90">
        <v>0.31919999999999998</v>
      </c>
      <c r="HT26" s="90">
        <f t="shared" si="119"/>
        <v>315.36959999999999</v>
      </c>
      <c r="HU26" s="90" t="e">
        <f>HT26*#REF!</f>
        <v>#REF!</v>
      </c>
      <c r="HV26" s="90">
        <v>2.83</v>
      </c>
      <c r="HW26" s="90">
        <v>3.1</v>
      </c>
      <c r="HX26" s="90">
        <f t="shared" si="120"/>
        <v>3062.8</v>
      </c>
      <c r="HY26" s="90">
        <v>1.06</v>
      </c>
      <c r="HZ26" s="90">
        <f t="shared" si="121"/>
        <v>3246.5680000000002</v>
      </c>
      <c r="IA26" s="90">
        <f t="shared" si="122"/>
        <v>3.29</v>
      </c>
      <c r="IB26" s="90">
        <f t="shared" si="123"/>
        <v>3.45</v>
      </c>
      <c r="IC26" s="90">
        <f t="shared" si="124"/>
        <v>3408.6000000000004</v>
      </c>
      <c r="ID26" s="90">
        <f t="shared" si="125"/>
        <v>3.64</v>
      </c>
      <c r="IE26" s="90">
        <f t="shared" si="126"/>
        <v>3596.32</v>
      </c>
      <c r="IF26" s="90">
        <f t="shared" si="127"/>
        <v>3.64</v>
      </c>
      <c r="IG26" s="92">
        <f t="shared" si="128"/>
        <v>43155.840000000004</v>
      </c>
      <c r="IH26" s="90">
        <v>3.91</v>
      </c>
      <c r="II26" s="90">
        <f t="shared" si="129"/>
        <v>4.1100000000000003</v>
      </c>
      <c r="IJ26" s="90">
        <f t="shared" si="130"/>
        <v>4060.68</v>
      </c>
      <c r="IK26" s="90">
        <f t="shared" si="131"/>
        <v>4.1100000000000003</v>
      </c>
      <c r="IL26" s="90">
        <f t="shared" si="132"/>
        <v>4060.68</v>
      </c>
      <c r="IM26" s="90">
        <f t="shared" si="133"/>
        <v>4.1100000000000003</v>
      </c>
      <c r="IN26" s="90">
        <f t="shared" si="134"/>
        <v>4060.68</v>
      </c>
      <c r="IO26" s="90">
        <f t="shared" si="135"/>
        <v>4.1100000000000003</v>
      </c>
      <c r="IP26" s="93">
        <v>0.37052404126999999</v>
      </c>
      <c r="IQ26" s="90">
        <f t="shared" si="136"/>
        <v>292.86220221980801</v>
      </c>
      <c r="IR26" s="90">
        <f t="shared" si="137"/>
        <v>310.43393435299652</v>
      </c>
      <c r="IS26" s="90">
        <v>108693.96</v>
      </c>
      <c r="IT26" s="90">
        <v>3053.33</v>
      </c>
      <c r="IU26" s="94"/>
      <c r="IV26" s="94"/>
      <c r="IW26" s="94">
        <v>1.6976249999999999</v>
      </c>
      <c r="IX26" s="90">
        <f t="shared" si="138"/>
        <v>1341.8028000000002</v>
      </c>
      <c r="IY26" s="93">
        <v>0.56339614052999998</v>
      </c>
      <c r="IZ26" s="90">
        <f t="shared" si="139"/>
        <v>556.63538684363994</v>
      </c>
      <c r="JA26" s="90">
        <f t="shared" si="140"/>
        <v>583.35</v>
      </c>
      <c r="JB26" s="90">
        <f t="shared" si="532"/>
        <v>612.22854065255808</v>
      </c>
      <c r="JC26" s="90">
        <f t="shared" si="141"/>
        <v>615.42999999999995</v>
      </c>
      <c r="JD26" s="90">
        <f t="shared" si="142"/>
        <v>650.89560637798263</v>
      </c>
      <c r="JE26" s="90">
        <f t="shared" si="143"/>
        <v>650.89560637798263</v>
      </c>
      <c r="JF26" s="93">
        <v>4.2278943710000003E-2</v>
      </c>
      <c r="JG26" s="90">
        <f t="shared" si="144"/>
        <v>33.417277108384006</v>
      </c>
      <c r="JH26" s="90">
        <f t="shared" si="145"/>
        <v>35.422313734887048</v>
      </c>
      <c r="JI26" s="20">
        <v>462.98</v>
      </c>
      <c r="JJ26" s="20"/>
      <c r="JK26" s="20">
        <v>6.0624999999999998E-2</v>
      </c>
      <c r="JL26" s="90">
        <f t="shared" si="146"/>
        <v>47.918000000000006</v>
      </c>
      <c r="JM26" s="93">
        <v>6.7347080040000007E-2</v>
      </c>
      <c r="JN26" s="90">
        <f t="shared" si="147"/>
        <v>66.538915079520009</v>
      </c>
      <c r="JO26" s="90">
        <f t="shared" si="148"/>
        <v>69.73</v>
      </c>
      <c r="JP26" s="90">
        <f t="shared" si="533"/>
        <v>73.181959612073157</v>
      </c>
      <c r="JQ26" s="90">
        <f t="shared" si="149"/>
        <v>73.569999999999993</v>
      </c>
      <c r="JR26" s="90">
        <f t="shared" si="150"/>
        <v>77.803978113888277</v>
      </c>
      <c r="JS26" s="90">
        <f t="shared" si="151"/>
        <v>77.803978113888277</v>
      </c>
      <c r="JT26" s="93">
        <v>7.3220517000000002E-3</v>
      </c>
      <c r="JU26" s="90">
        <f t="shared" si="152"/>
        <v>5.7873496636800006</v>
      </c>
      <c r="JV26" s="90">
        <f t="shared" si="153"/>
        <v>6.07</v>
      </c>
      <c r="JW26" s="90">
        <f t="shared" si="534"/>
        <v>6.3704932574972624</v>
      </c>
      <c r="JX26" s="90">
        <f t="shared" si="154"/>
        <v>6.4</v>
      </c>
      <c r="JY26" s="90">
        <f t="shared" si="155"/>
        <v>6.7728402000760344</v>
      </c>
      <c r="JZ26" s="90">
        <f t="shared" si="156"/>
        <v>6.7728402000760344</v>
      </c>
      <c r="KA26" s="90">
        <v>8.3090999999999998E-3</v>
      </c>
      <c r="KB26" s="90">
        <f t="shared" si="157"/>
        <v>6.5675126400000003</v>
      </c>
      <c r="KC26" s="90" t="e">
        <f>KB26*#REF!</f>
        <v>#REF!</v>
      </c>
      <c r="KD26" s="90">
        <v>34406.519999999997</v>
      </c>
      <c r="KE26" s="90">
        <v>40292.97</v>
      </c>
      <c r="KF26" s="90"/>
      <c r="KG26" s="90">
        <f t="shared" si="522"/>
        <v>1157.0322822534799</v>
      </c>
      <c r="KH26" s="90" t="e">
        <f>KG26/(BW26+#REF!)*(CB26+#REF!)</f>
        <v>#REF!</v>
      </c>
      <c r="KI26" s="90">
        <v>0.8</v>
      </c>
      <c r="KJ26" s="94"/>
      <c r="KK26" s="90">
        <f t="shared" si="159"/>
        <v>0</v>
      </c>
      <c r="KL26" s="93">
        <v>1.2690177</v>
      </c>
      <c r="KM26" s="90">
        <f t="shared" si="160"/>
        <v>1253.7894876</v>
      </c>
      <c r="KN26" s="90">
        <f t="shared" si="161"/>
        <v>1329.016856856</v>
      </c>
      <c r="KO26" s="90" t="e">
        <f>BW26+CN26+DC26+DS26+EG26+EV26+FK26+GB26+#REF!+#REF!+HJ26+HX26+IQ26+JG26+JU26+KK26+KM26</f>
        <v>#REF!</v>
      </c>
      <c r="KP26" s="90"/>
      <c r="KQ26" s="90">
        <v>0.50815001599999998</v>
      </c>
      <c r="KR26" s="90">
        <f t="shared" si="514"/>
        <v>502.05221580799997</v>
      </c>
      <c r="KS26" s="90">
        <v>0.71072749999999996</v>
      </c>
      <c r="KT26" s="90">
        <f t="shared" si="163"/>
        <v>356.8223162106803</v>
      </c>
      <c r="KU26" s="90">
        <f t="shared" si="164"/>
        <v>539.5515767164145</v>
      </c>
      <c r="KV26" s="90">
        <f t="shared" si="165"/>
        <v>565.45000000000005</v>
      </c>
      <c r="KW26" s="90">
        <f t="shared" si="535"/>
        <v>593.44240732320054</v>
      </c>
      <c r="KX26" s="90">
        <f t="shared" si="166"/>
        <v>596.54999999999995</v>
      </c>
      <c r="KY26" s="90">
        <f t="shared" si="167"/>
        <v>630.92298041729725</v>
      </c>
      <c r="KZ26" s="90">
        <f t="shared" si="168"/>
        <v>630.92298041729725</v>
      </c>
      <c r="LA26" s="90">
        <f t="shared" si="169"/>
        <v>3872.9600000000009</v>
      </c>
      <c r="LB26" s="90">
        <f t="shared" si="170"/>
        <v>3.92</v>
      </c>
      <c r="LC26" s="92">
        <f t="shared" si="171"/>
        <v>46475.520000000011</v>
      </c>
      <c r="LD26" s="92">
        <v>4.21</v>
      </c>
      <c r="LE26" s="92">
        <v>4159.4799999999987</v>
      </c>
      <c r="LF26" s="90">
        <f t="shared" si="172"/>
        <v>4.18</v>
      </c>
      <c r="LG26" s="90">
        <f t="shared" si="173"/>
        <v>4129.84</v>
      </c>
      <c r="LH26" s="90">
        <f t="shared" si="174"/>
        <v>4163.4320000000007</v>
      </c>
      <c r="LI26" s="90">
        <f t="shared" si="175"/>
        <v>4.21</v>
      </c>
      <c r="LJ26" s="90">
        <f t="shared" si="176"/>
        <v>4129.84</v>
      </c>
      <c r="LK26" s="90">
        <f t="shared" si="177"/>
        <v>4.18</v>
      </c>
      <c r="LL26" s="90">
        <f t="shared" si="178"/>
        <v>4129.84</v>
      </c>
      <c r="LM26" s="90">
        <f t="shared" si="179"/>
        <v>4.18</v>
      </c>
      <c r="LN26" s="95">
        <v>0.46</v>
      </c>
      <c r="LO26" s="95">
        <f t="shared" si="180"/>
        <v>454.48</v>
      </c>
      <c r="LP26" s="95"/>
      <c r="LQ26" s="95">
        <f t="shared" si="181"/>
        <v>0</v>
      </c>
      <c r="LR26" s="90"/>
      <c r="LS26" s="90"/>
      <c r="LT26" s="90">
        <f t="shared" si="182"/>
        <v>0</v>
      </c>
      <c r="LU26" s="90"/>
      <c r="LV26" s="90">
        <f t="shared" si="183"/>
        <v>0</v>
      </c>
      <c r="LW26" s="90">
        <f t="shared" si="184"/>
        <v>0</v>
      </c>
      <c r="LX26" s="90"/>
      <c r="LY26" s="90"/>
      <c r="LZ26" s="90">
        <f t="shared" si="185"/>
        <v>0</v>
      </c>
      <c r="MA26" s="90"/>
      <c r="MB26" s="90">
        <f t="shared" si="186"/>
        <v>0</v>
      </c>
      <c r="MC26" s="90">
        <f t="shared" si="187"/>
        <v>0</v>
      </c>
      <c r="MD26" s="90"/>
      <c r="ME26" s="90"/>
      <c r="MF26" s="90">
        <f t="shared" si="188"/>
        <v>0</v>
      </c>
      <c r="MG26" s="90"/>
      <c r="MH26" s="90">
        <f t="shared" si="189"/>
        <v>0</v>
      </c>
      <c r="MI26" s="90">
        <f t="shared" si="190"/>
        <v>0</v>
      </c>
      <c r="MJ26" s="90"/>
      <c r="MK26" s="90"/>
      <c r="ML26" s="90">
        <f t="shared" si="191"/>
        <v>0</v>
      </c>
      <c r="MM26" s="90"/>
      <c r="MN26" s="90">
        <f t="shared" si="192"/>
        <v>0</v>
      </c>
      <c r="MO26" s="90">
        <f t="shared" si="193"/>
        <v>0</v>
      </c>
      <c r="MP26" s="90">
        <f t="shared" si="194"/>
        <v>0</v>
      </c>
      <c r="MQ26" s="90">
        <f t="shared" si="195"/>
        <v>0</v>
      </c>
      <c r="MR26" s="90">
        <f t="shared" si="196"/>
        <v>0</v>
      </c>
      <c r="MS26" s="90">
        <f t="shared" si="197"/>
        <v>0</v>
      </c>
      <c r="MT26" s="95"/>
      <c r="MU26" s="95">
        <f t="shared" si="198"/>
        <v>0</v>
      </c>
      <c r="MV26" s="92">
        <f t="shared" si="199"/>
        <v>0</v>
      </c>
      <c r="MW26" s="95"/>
      <c r="MX26" s="95">
        <f t="shared" si="200"/>
        <v>0</v>
      </c>
      <c r="MY26" s="95"/>
      <c r="MZ26" s="95">
        <f t="shared" si="201"/>
        <v>0</v>
      </c>
      <c r="NA26" s="95"/>
      <c r="NB26" s="95">
        <f t="shared" si="202"/>
        <v>0</v>
      </c>
      <c r="NC26" s="92">
        <f t="shared" si="203"/>
        <v>0</v>
      </c>
      <c r="ND26" s="95"/>
      <c r="NE26" s="95">
        <f t="shared" si="204"/>
        <v>0</v>
      </c>
      <c r="NF26" s="95"/>
      <c r="NG26" s="95">
        <f t="shared" si="205"/>
        <v>0</v>
      </c>
      <c r="NH26" s="95"/>
      <c r="NI26" s="95"/>
      <c r="NJ26" s="95">
        <f t="shared" si="206"/>
        <v>0</v>
      </c>
      <c r="NK26" s="92">
        <f t="shared" si="207"/>
        <v>0</v>
      </c>
      <c r="NL26" s="95"/>
      <c r="NM26" s="95">
        <f t="shared" si="208"/>
        <v>0</v>
      </c>
      <c r="NN26" s="95"/>
      <c r="NO26" s="95">
        <f t="shared" si="209"/>
        <v>0</v>
      </c>
      <c r="NP26" s="95"/>
      <c r="NQ26" s="95">
        <f t="shared" si="210"/>
        <v>0</v>
      </c>
      <c r="NR26" s="92">
        <f t="shared" si="211"/>
        <v>0</v>
      </c>
      <c r="NS26" s="95"/>
      <c r="NT26" s="95">
        <f t="shared" si="212"/>
        <v>0</v>
      </c>
      <c r="NU26" s="95"/>
      <c r="NV26" s="95">
        <f t="shared" si="213"/>
        <v>0</v>
      </c>
      <c r="NW26" s="95"/>
      <c r="NX26" s="95">
        <f t="shared" si="214"/>
        <v>0</v>
      </c>
      <c r="NY26" s="92">
        <f t="shared" si="215"/>
        <v>0</v>
      </c>
      <c r="NZ26" s="95"/>
      <c r="OA26" s="95">
        <f t="shared" si="216"/>
        <v>0</v>
      </c>
      <c r="OB26" s="95"/>
      <c r="OC26" s="95">
        <f t="shared" si="217"/>
        <v>0</v>
      </c>
      <c r="OD26" s="90">
        <v>5740.28</v>
      </c>
      <c r="OE26" s="90">
        <f t="shared" si="218"/>
        <v>5.81</v>
      </c>
      <c r="OF26" s="92">
        <f t="shared" si="219"/>
        <v>68883.360000000001</v>
      </c>
      <c r="OG26" s="96">
        <v>881.44</v>
      </c>
      <c r="OH26" s="96">
        <v>0.89</v>
      </c>
      <c r="OI26" s="90">
        <v>6659.12</v>
      </c>
      <c r="OJ26" s="90">
        <f t="shared" si="220"/>
        <v>6.74</v>
      </c>
      <c r="OK26" s="90">
        <f t="shared" si="221"/>
        <v>6621.7199999999993</v>
      </c>
      <c r="OL26" s="90">
        <f t="shared" si="222"/>
        <v>6.7</v>
      </c>
      <c r="OM26" s="90">
        <f t="shared" si="223"/>
        <v>4.0000000000000036E-2</v>
      </c>
      <c r="ON26" s="90">
        <v>5779.8</v>
      </c>
      <c r="OO26" s="90">
        <f t="shared" si="224"/>
        <v>5.85</v>
      </c>
      <c r="OP26" s="90">
        <v>5777.68</v>
      </c>
      <c r="OQ26" s="90">
        <v>5.85</v>
      </c>
      <c r="OR26" s="90">
        <f t="shared" si="225"/>
        <v>0</v>
      </c>
      <c r="OS26" s="90">
        <f t="shared" si="226"/>
        <v>5.8500000000000005</v>
      </c>
      <c r="OT26" s="90">
        <v>5779.8</v>
      </c>
      <c r="OU26" s="90">
        <f t="shared" si="227"/>
        <v>5.85</v>
      </c>
      <c r="OV26" s="97">
        <v>4791.8</v>
      </c>
      <c r="OW26" s="90">
        <f t="shared" si="228"/>
        <v>4791.8</v>
      </c>
      <c r="OX26" s="90">
        <f t="shared" si="229"/>
        <v>4.8499999999999996</v>
      </c>
      <c r="OY26" s="90">
        <f>OU26-1</f>
        <v>4.8499999999999996</v>
      </c>
      <c r="OZ26" s="90"/>
      <c r="PA26" s="90"/>
      <c r="PB26" s="95">
        <f t="shared" si="230"/>
        <v>0</v>
      </c>
      <c r="PC26" s="92">
        <f t="shared" si="231"/>
        <v>0</v>
      </c>
      <c r="PD26" s="90"/>
      <c r="PE26" s="95">
        <f t="shared" si="232"/>
        <v>0</v>
      </c>
      <c r="PF26" s="90">
        <f t="shared" si="233"/>
        <v>14603.400000000001</v>
      </c>
      <c r="PG26" s="90">
        <f t="shared" si="234"/>
        <v>14.78</v>
      </c>
      <c r="PH26" s="90">
        <f t="shared" si="235"/>
        <v>15899.046666666665</v>
      </c>
      <c r="PI26" s="90">
        <f t="shared" si="236"/>
        <v>16.09</v>
      </c>
      <c r="PJ26" s="90">
        <f t="shared" si="237"/>
        <v>15899.046666666665</v>
      </c>
      <c r="PK26" s="90">
        <f t="shared" si="238"/>
        <v>16.09</v>
      </c>
      <c r="PL26" s="90"/>
      <c r="PM26" s="90">
        <f t="shared" si="239"/>
        <v>438.1</v>
      </c>
      <c r="PN26" s="90">
        <f t="shared" si="240"/>
        <v>0.44</v>
      </c>
      <c r="PO26" s="92">
        <f t="shared" si="241"/>
        <v>5257.2000000000007</v>
      </c>
      <c r="PP26" s="90">
        <f t="shared" si="242"/>
        <v>476.97</v>
      </c>
      <c r="PQ26" s="90">
        <f t="shared" si="243"/>
        <v>0.48</v>
      </c>
      <c r="PR26" s="90">
        <f t="shared" si="244"/>
        <v>476.97</v>
      </c>
      <c r="PS26" s="90">
        <f t="shared" si="245"/>
        <v>0.48</v>
      </c>
      <c r="PT26" s="90">
        <f t="shared" si="246"/>
        <v>15041.500000000002</v>
      </c>
      <c r="PU26" s="90">
        <f t="shared" si="247"/>
        <v>15.22</v>
      </c>
      <c r="PV26" s="90">
        <f t="shared" si="248"/>
        <v>16376.016666666665</v>
      </c>
      <c r="PW26" s="90">
        <f t="shared" si="249"/>
        <v>16.57</v>
      </c>
      <c r="PX26" s="90">
        <f t="shared" si="250"/>
        <v>16376.016666666665</v>
      </c>
      <c r="PY26" s="90">
        <f t="shared" si="251"/>
        <v>16.57</v>
      </c>
      <c r="PZ26" s="90">
        <f t="shared" si="252"/>
        <v>151.93</v>
      </c>
      <c r="QA26" s="90">
        <f t="shared" si="253"/>
        <v>0.15</v>
      </c>
      <c r="QB26" s="92">
        <f t="shared" si="254"/>
        <v>1823.16</v>
      </c>
      <c r="QC26" s="90">
        <f t="shared" si="255"/>
        <v>165.41</v>
      </c>
      <c r="QD26" s="90">
        <f t="shared" si="256"/>
        <v>0.17</v>
      </c>
      <c r="QE26" s="90">
        <f t="shared" si="257"/>
        <v>165.41</v>
      </c>
      <c r="QF26" s="90">
        <f t="shared" si="258"/>
        <v>0.17</v>
      </c>
      <c r="QG26" s="90">
        <f t="shared" si="259"/>
        <v>15193.430000000002</v>
      </c>
      <c r="QH26" s="90">
        <f t="shared" si="260"/>
        <v>15.38</v>
      </c>
      <c r="QI26" s="92">
        <f t="shared" si="261"/>
        <v>182321.16000000003</v>
      </c>
      <c r="QJ26" s="90">
        <f t="shared" si="262"/>
        <v>608.82240732320054</v>
      </c>
      <c r="QK26" s="98">
        <f t="shared" si="263"/>
        <v>0.21869999999999998</v>
      </c>
      <c r="QL26" s="90">
        <f t="shared" si="264"/>
        <v>216.07559999999998</v>
      </c>
      <c r="QM26" s="90">
        <f t="shared" si="265"/>
        <v>0.14579999999999999</v>
      </c>
      <c r="QN26" s="90">
        <f t="shared" si="266"/>
        <v>144.0504</v>
      </c>
      <c r="QO26" s="90">
        <v>0.21869999999999998</v>
      </c>
      <c r="QP26" s="90">
        <v>0.14579999999999999</v>
      </c>
      <c r="QQ26" s="97">
        <f t="shared" si="267"/>
        <v>360.12599999999998</v>
      </c>
      <c r="QR26" s="97">
        <v>360.12599999999998</v>
      </c>
      <c r="QS26" s="97">
        <f t="shared" si="268"/>
        <v>0</v>
      </c>
      <c r="QT26" s="90"/>
      <c r="QU26" s="90">
        <f t="shared" si="269"/>
        <v>0.14579999999999999</v>
      </c>
      <c r="QV26" s="90">
        <f t="shared" si="270"/>
        <v>144.0504</v>
      </c>
      <c r="QW26" s="90">
        <f t="shared" si="271"/>
        <v>360.12599999999998</v>
      </c>
      <c r="QX26" s="90">
        <f t="shared" si="272"/>
        <v>0.36449999999999999</v>
      </c>
      <c r="QY26" s="90"/>
      <c r="QZ26" s="90"/>
      <c r="RA26" s="90"/>
      <c r="RB26" s="90">
        <v>3676.99</v>
      </c>
      <c r="RC26" s="97">
        <f t="shared" si="273"/>
        <v>15193.430000000002</v>
      </c>
      <c r="RD26" s="97">
        <f t="shared" si="274"/>
        <v>15.38</v>
      </c>
      <c r="RE26" s="90">
        <f t="shared" si="275"/>
        <v>16541.426666666666</v>
      </c>
      <c r="RF26" s="90">
        <f t="shared" si="276"/>
        <v>16.739999999999998</v>
      </c>
      <c r="RG26" s="90">
        <f t="shared" si="277"/>
        <v>108.9134677944047</v>
      </c>
      <c r="RH26" s="90">
        <f t="shared" si="278"/>
        <v>16541.426666666666</v>
      </c>
      <c r="RI26" s="90">
        <f t="shared" si="279"/>
        <v>16.739999999999998</v>
      </c>
      <c r="RJ26" s="90">
        <v>16.53</v>
      </c>
      <c r="RK26" s="90">
        <v>0</v>
      </c>
      <c r="RL26" s="90">
        <f t="shared" si="280"/>
        <v>0.2099999999999973</v>
      </c>
      <c r="RM26" s="90">
        <f t="shared" si="281"/>
        <v>105.68181818181816</v>
      </c>
      <c r="RN26" s="90">
        <f t="shared" si="282"/>
        <v>9335.9700000000012</v>
      </c>
      <c r="RO26" s="90"/>
      <c r="RP26" s="90"/>
      <c r="RQ26" s="99">
        <v>629</v>
      </c>
      <c r="RR26" s="90">
        <f t="shared" si="283"/>
        <v>9453.1500000000015</v>
      </c>
      <c r="RS26" s="90">
        <f t="shared" si="284"/>
        <v>9.5679655870445366</v>
      </c>
      <c r="RT26" s="90">
        <f>11.28+3.3</f>
        <v>14.579999999999998</v>
      </c>
      <c r="RU26" s="90">
        <f t="shared" si="285"/>
        <v>14405.039999999999</v>
      </c>
      <c r="RV26" s="90">
        <f t="shared" si="286"/>
        <v>0.61621701146072927</v>
      </c>
      <c r="RW26" s="90">
        <v>10.43</v>
      </c>
      <c r="RX26" s="90">
        <f t="shared" si="287"/>
        <v>10.951499999999999</v>
      </c>
      <c r="RY26" s="90">
        <f t="shared" si="288"/>
        <v>10820.081999999999</v>
      </c>
      <c r="RZ26" s="90">
        <f t="shared" si="289"/>
        <v>2854.5662740328717</v>
      </c>
      <c r="SA26" s="90">
        <f t="shared" si="290"/>
        <v>1277.1246224460317</v>
      </c>
      <c r="SB26" s="90">
        <f t="shared" si="291"/>
        <v>1931.1421186371606</v>
      </c>
      <c r="SC26" s="90">
        <f t="shared" si="292"/>
        <v>3508.5837702240015</v>
      </c>
      <c r="SD26" s="90">
        <f t="shared" si="293"/>
        <v>3508.5837702240005</v>
      </c>
      <c r="SE26" s="90">
        <f t="shared" si="294"/>
        <v>3561.439447318352</v>
      </c>
      <c r="SF26" s="90">
        <f t="shared" si="295"/>
        <v>3508.383234750293</v>
      </c>
      <c r="SG26" s="90">
        <f t="shared" si="296"/>
        <v>0.20053547370844171</v>
      </c>
      <c r="SH26" s="90">
        <f t="shared" si="297"/>
        <v>3508.5837702240015</v>
      </c>
      <c r="SI26" s="90">
        <f t="shared" si="298"/>
        <v>3.5511981480000006</v>
      </c>
      <c r="SJ26" s="90">
        <f t="shared" si="299"/>
        <v>3.5509951768727661</v>
      </c>
      <c r="SK26" s="90"/>
      <c r="SL26" s="90"/>
      <c r="SM26" s="90"/>
      <c r="SN26" s="90">
        <f t="shared" si="300"/>
        <v>3756.29</v>
      </c>
      <c r="SO26" s="90" t="e">
        <f>RU26-#REF!-#REF!-HZ26-LT26-LZ26-MF26-ML26-QL26-QN26-SD26</f>
        <v>#REF!</v>
      </c>
      <c r="SP26" s="90">
        <f t="shared" si="301"/>
        <v>3676.99</v>
      </c>
      <c r="SQ26" s="90">
        <f t="shared" si="302"/>
        <v>3872.9600000000009</v>
      </c>
      <c r="SR26" s="90">
        <f t="shared" si="303"/>
        <v>3.72164979757085</v>
      </c>
      <c r="SS26" s="90">
        <f t="shared" si="304"/>
        <v>3.9200000000000008</v>
      </c>
      <c r="ST26" s="90">
        <f t="shared" si="305"/>
        <v>3887.7</v>
      </c>
      <c r="SU26" s="90">
        <v>3.72164979757085</v>
      </c>
      <c r="SV26" s="90">
        <f t="shared" si="306"/>
        <v>3.93</v>
      </c>
      <c r="SW26" s="90">
        <v>3.92</v>
      </c>
      <c r="SX26" s="90">
        <f t="shared" si="307"/>
        <v>3872.96</v>
      </c>
      <c r="SY26" s="90">
        <v>3.72164979757085</v>
      </c>
      <c r="SZ26" s="90">
        <f t="shared" si="308"/>
        <v>3676.99</v>
      </c>
      <c r="TA26" s="90">
        <f t="shared" si="309"/>
        <v>0</v>
      </c>
      <c r="TB26" s="90">
        <v>0</v>
      </c>
      <c r="TC26" s="90">
        <f t="shared" si="310"/>
        <v>5867.8839999999982</v>
      </c>
      <c r="TD26" s="90" t="e">
        <f>#REF!+#REF!</f>
        <v>#REF!</v>
      </c>
      <c r="TE26" s="90" t="e">
        <f t="shared" si="311"/>
        <v>#REF!</v>
      </c>
      <c r="TF26" s="90">
        <v>5738.4473333333317</v>
      </c>
      <c r="TG26" s="90">
        <f t="shared" si="312"/>
        <v>40.734937216418686</v>
      </c>
      <c r="TH26" s="95"/>
      <c r="TI26" s="95"/>
      <c r="TJ26" s="95"/>
      <c r="TK26" s="95"/>
      <c r="TL26" s="95"/>
      <c r="TM26" s="95">
        <f t="shared" si="313"/>
        <v>0</v>
      </c>
      <c r="TN26" s="95">
        <f t="shared" si="314"/>
        <v>14405.039999999999</v>
      </c>
      <c r="TO26" s="95">
        <f t="shared" si="315"/>
        <v>40.734937216418686</v>
      </c>
      <c r="TP26" s="95"/>
      <c r="TQ26" s="95">
        <f t="shared" si="316"/>
        <v>14.579999999999998</v>
      </c>
      <c r="TR26" s="95"/>
      <c r="TS26" s="95"/>
      <c r="TT26" s="95"/>
      <c r="TU26" s="95"/>
      <c r="TV26" s="95"/>
      <c r="TW26" s="95"/>
      <c r="TX26" s="95"/>
      <c r="TY26" s="95"/>
      <c r="TZ26" s="95">
        <f t="shared" si="317"/>
        <v>2.5</v>
      </c>
      <c r="UA26" s="95">
        <f t="shared" si="318"/>
        <v>0.64151999999999998</v>
      </c>
      <c r="UB26" s="90">
        <v>0</v>
      </c>
      <c r="UC26" s="90">
        <f t="shared" si="319"/>
        <v>0</v>
      </c>
      <c r="UD26" s="90">
        <f t="shared" si="320"/>
        <v>0</v>
      </c>
      <c r="UE26" s="90">
        <f t="shared" si="321"/>
        <v>0</v>
      </c>
      <c r="UF26" s="90">
        <f t="shared" si="322"/>
        <v>14405.039999999999</v>
      </c>
      <c r="UG26" s="91">
        <f t="shared" si="323"/>
        <v>0</v>
      </c>
      <c r="UH26" s="95">
        <f t="shared" si="324"/>
        <v>40.734937216418686</v>
      </c>
      <c r="UI26" s="95">
        <f t="shared" si="325"/>
        <v>14405.039999999999</v>
      </c>
      <c r="UJ26" s="101">
        <f t="shared" si="326"/>
        <v>0</v>
      </c>
      <c r="UK26" s="101">
        <f t="shared" si="327"/>
        <v>40.734937216418686</v>
      </c>
      <c r="UL26" s="90" t="e">
        <f>(#REF!+#REF!+HZ26+LT26+LZ26+MF26+ML26+QL26+QN26+SN26+TC26+TM26+UC26)/I26</f>
        <v>#REF!</v>
      </c>
      <c r="UN26" s="90" t="e">
        <f>#REF!/I26</f>
        <v>#REF!</v>
      </c>
      <c r="UO26" s="90" t="e">
        <f>#REF!/I26</f>
        <v>#REF!</v>
      </c>
      <c r="UP26" s="90">
        <v>1.1499999999999999</v>
      </c>
      <c r="UQ26" s="90" t="e">
        <f t="shared" si="328"/>
        <v>#REF!</v>
      </c>
      <c r="UR26" s="90">
        <f t="shared" si="329"/>
        <v>9453.1500000000015</v>
      </c>
      <c r="US26" s="90">
        <f t="shared" si="330"/>
        <v>11057.963333333333</v>
      </c>
      <c r="UT26" s="90">
        <f t="shared" si="331"/>
        <v>11057.963333333333</v>
      </c>
      <c r="UU26" s="90">
        <f t="shared" si="516"/>
        <v>11512.443333333333</v>
      </c>
      <c r="UV26" s="90">
        <f t="shared" si="333"/>
        <v>11295.146666666666</v>
      </c>
      <c r="UW26" s="90">
        <f t="shared" si="334"/>
        <v>5.3299999999999992</v>
      </c>
      <c r="UX26" s="90">
        <f t="shared" si="335"/>
        <v>3.92</v>
      </c>
      <c r="UY26" s="90">
        <f t="shared" si="336"/>
        <v>3.8019129554655868</v>
      </c>
      <c r="UZ26" s="100">
        <f t="shared" si="337"/>
        <v>3.5511981480000006</v>
      </c>
      <c r="VA26" s="90">
        <f t="shared" si="338"/>
        <v>0.52</v>
      </c>
      <c r="VB26" s="90">
        <f t="shared" si="339"/>
        <v>0.89</v>
      </c>
      <c r="VC26" s="90">
        <f t="shared" si="340"/>
        <v>0</v>
      </c>
      <c r="VD26" s="90">
        <f t="shared" si="341"/>
        <v>0</v>
      </c>
      <c r="VE26" s="90">
        <f t="shared" si="342"/>
        <v>0</v>
      </c>
      <c r="VF26" s="90">
        <f t="shared" si="343"/>
        <v>0</v>
      </c>
      <c r="VG26" s="90">
        <f t="shared" si="344"/>
        <v>0</v>
      </c>
      <c r="VH26" s="90">
        <f t="shared" si="345"/>
        <v>0</v>
      </c>
      <c r="VI26" s="90">
        <f t="shared" si="346"/>
        <v>0</v>
      </c>
      <c r="VJ26" s="90">
        <f t="shared" si="347"/>
        <v>0</v>
      </c>
      <c r="VK26" s="90">
        <f t="shared" si="348"/>
        <v>0.78</v>
      </c>
      <c r="VL26" s="90">
        <f t="shared" si="349"/>
        <v>3.64</v>
      </c>
      <c r="VM26" s="90">
        <f t="shared" si="350"/>
        <v>5.81</v>
      </c>
      <c r="VN26" s="90">
        <f t="shared" si="351"/>
        <v>0</v>
      </c>
      <c r="VO26" s="90">
        <f t="shared" si="352"/>
        <v>5.81</v>
      </c>
      <c r="VP26" s="97">
        <v>0</v>
      </c>
      <c r="VQ26" s="97">
        <v>5.81</v>
      </c>
      <c r="VR26" s="90">
        <f t="shared" si="353"/>
        <v>0.44</v>
      </c>
      <c r="VS26" s="90">
        <f t="shared" si="354"/>
        <v>0.15</v>
      </c>
      <c r="VT26" s="90">
        <v>0.11989898989898991</v>
      </c>
      <c r="VU26" s="90">
        <f t="shared" si="355"/>
        <v>0.15369999999999998</v>
      </c>
      <c r="VV26" s="90">
        <v>0.38175323599898991</v>
      </c>
      <c r="VW26" s="90">
        <f t="shared" si="356"/>
        <v>0.59</v>
      </c>
      <c r="VX26" s="90">
        <f t="shared" si="357"/>
        <v>15.369999999999997</v>
      </c>
      <c r="VY26" s="90">
        <f t="shared" si="358"/>
        <v>15.369999999999997</v>
      </c>
      <c r="VZ26" s="90">
        <f t="shared" si="359"/>
        <v>0</v>
      </c>
      <c r="WA26" s="90"/>
      <c r="WB26" s="90">
        <f t="shared" si="360"/>
        <v>15.369999999999997</v>
      </c>
      <c r="WC26" s="90">
        <f t="shared" si="361"/>
        <v>0</v>
      </c>
      <c r="WD26" s="90"/>
      <c r="WE26" s="90">
        <v>15.369999999999997</v>
      </c>
      <c r="WF26" s="90"/>
      <c r="WG26" s="90">
        <f t="shared" si="362"/>
        <v>15185.559999999998</v>
      </c>
      <c r="WH26" s="90">
        <f t="shared" si="363"/>
        <v>15185.559999999998</v>
      </c>
      <c r="WI26" s="90">
        <f t="shared" si="364"/>
        <v>15193.430000000002</v>
      </c>
      <c r="WJ26" s="90">
        <f t="shared" si="365"/>
        <v>9453.1500000000015</v>
      </c>
      <c r="WK26" s="97">
        <v>5740.28</v>
      </c>
      <c r="WL26" s="97">
        <v>5.81</v>
      </c>
      <c r="WM26" s="90">
        <f t="shared" si="366"/>
        <v>5740.28</v>
      </c>
      <c r="WN26" s="90">
        <f t="shared" si="367"/>
        <v>5.81</v>
      </c>
      <c r="WO26" s="90"/>
      <c r="WP26" s="97">
        <v>15.369999999999997</v>
      </c>
      <c r="WQ26" s="90">
        <f t="shared" si="368"/>
        <v>15.369999999999997</v>
      </c>
      <c r="WR26" s="91">
        <f t="shared" si="369"/>
        <v>105.41838134430725</v>
      </c>
      <c r="WS26" s="91">
        <f t="shared" si="370"/>
        <v>136.25886524822695</v>
      </c>
      <c r="WT26" s="90">
        <f t="shared" si="371"/>
        <v>15185.56</v>
      </c>
      <c r="WU26" s="90">
        <f t="shared" si="372"/>
        <v>15193.430000000002</v>
      </c>
      <c r="WV26" s="90">
        <f t="shared" si="373"/>
        <v>-7.8700000000026193</v>
      </c>
      <c r="WW26" s="90">
        <v>3.3</v>
      </c>
      <c r="WX26" s="90"/>
      <c r="WY26" s="90"/>
      <c r="WZ26" s="90">
        <f t="shared" si="374"/>
        <v>5.822043434343434</v>
      </c>
      <c r="XA26" s="90">
        <v>0</v>
      </c>
      <c r="XB26" s="90">
        <f t="shared" si="375"/>
        <v>5.822043434343434</v>
      </c>
      <c r="XC26" s="90">
        <f t="shared" si="376"/>
        <v>0.46229999999999999</v>
      </c>
      <c r="XD26" s="90">
        <f t="shared" si="377"/>
        <v>0.15565656565656566</v>
      </c>
      <c r="XE26" s="90"/>
      <c r="XF26" s="90">
        <f t="shared" si="378"/>
        <v>15.41</v>
      </c>
      <c r="XG26" s="90">
        <v>5.8081450742240204</v>
      </c>
      <c r="XH26" s="20">
        <v>14.579999999999998</v>
      </c>
      <c r="XI26" s="20">
        <v>0</v>
      </c>
      <c r="XJ26" s="20"/>
      <c r="XK26" s="20"/>
      <c r="XL26" s="20"/>
      <c r="XM26" s="20">
        <f t="shared" si="379"/>
        <v>14.579999999999998</v>
      </c>
      <c r="XN26" s="91">
        <f t="shared" si="380"/>
        <v>105.41838134430725</v>
      </c>
      <c r="XO26" s="20">
        <f t="shared" si="381"/>
        <v>14.579999999999998</v>
      </c>
      <c r="XP26" s="90">
        <f t="shared" si="382"/>
        <v>11.279999999999998</v>
      </c>
      <c r="XQ26" s="91">
        <f t="shared" si="383"/>
        <v>105.41838134430725</v>
      </c>
      <c r="XR26" s="102"/>
      <c r="XS26" s="90">
        <f t="shared" si="384"/>
        <v>3.64</v>
      </c>
      <c r="XT26" s="90">
        <f t="shared" si="385"/>
        <v>5.3299999999999992</v>
      </c>
      <c r="XU26" s="90">
        <f t="shared" si="386"/>
        <v>3.92</v>
      </c>
      <c r="XV26" s="90">
        <f t="shared" si="387"/>
        <v>0.52</v>
      </c>
      <c r="XW26" s="90">
        <f t="shared" si="388"/>
        <v>0.52</v>
      </c>
      <c r="XX26" s="90">
        <f t="shared" si="389"/>
        <v>0</v>
      </c>
      <c r="XY26" s="90">
        <f t="shared" si="390"/>
        <v>0.89</v>
      </c>
      <c r="XZ26" s="90">
        <f t="shared" si="391"/>
        <v>0</v>
      </c>
      <c r="YA26" s="90">
        <f t="shared" si="392"/>
        <v>0</v>
      </c>
      <c r="YB26" s="90">
        <f t="shared" si="537"/>
        <v>0</v>
      </c>
      <c r="YC26" s="90">
        <f t="shared" si="537"/>
        <v>0</v>
      </c>
      <c r="YD26" s="90">
        <f t="shared" si="394"/>
        <v>0.89</v>
      </c>
      <c r="YE26" s="90">
        <f t="shared" si="395"/>
        <v>5.81</v>
      </c>
      <c r="YF26" s="90">
        <f t="shared" si="396"/>
        <v>0.59</v>
      </c>
      <c r="YG26" s="90">
        <f t="shared" si="397"/>
        <v>15.369999999999997</v>
      </c>
      <c r="YI26" s="103" t="s">
        <v>475</v>
      </c>
      <c r="YK26" s="90">
        <f t="shared" si="398"/>
        <v>1.07</v>
      </c>
      <c r="YL26" s="90">
        <f t="shared" si="538"/>
        <v>0.52</v>
      </c>
      <c r="YM26" s="90">
        <f t="shared" si="538"/>
        <v>0.89</v>
      </c>
      <c r="YN26" s="90">
        <f t="shared" si="400"/>
        <v>3.64</v>
      </c>
      <c r="YO26" s="90">
        <f t="shared" si="401"/>
        <v>9.25</v>
      </c>
      <c r="YP26" s="90">
        <f t="shared" si="402"/>
        <v>0</v>
      </c>
      <c r="YQ26" s="90">
        <f t="shared" si="403"/>
        <v>15.369999999999997</v>
      </c>
      <c r="YR26" s="90">
        <f t="shared" si="404"/>
        <v>0</v>
      </c>
      <c r="YS26" s="104">
        <f t="shared" si="405"/>
        <v>15.370000000000001</v>
      </c>
      <c r="YT26" s="104">
        <f t="shared" si="406"/>
        <v>0</v>
      </c>
      <c r="YY26" s="90">
        <f t="shared" si="407"/>
        <v>6.43</v>
      </c>
      <c r="YZ26" s="90">
        <f t="shared" si="408"/>
        <v>4.18</v>
      </c>
      <c r="ZA26" s="90">
        <f t="shared" si="409"/>
        <v>0.46</v>
      </c>
      <c r="ZB26" s="90">
        <f t="shared" si="410"/>
        <v>1.79</v>
      </c>
      <c r="ZC26" s="90">
        <f t="shared" si="411"/>
        <v>0</v>
      </c>
      <c r="ZD26" s="90">
        <f t="shared" si="412"/>
        <v>0</v>
      </c>
      <c r="ZE26" s="90">
        <f t="shared" si="413"/>
        <v>0</v>
      </c>
      <c r="ZF26" s="90">
        <f t="shared" si="414"/>
        <v>0</v>
      </c>
      <c r="ZG26" s="90">
        <f t="shared" si="415"/>
        <v>0</v>
      </c>
      <c r="ZH26" s="90">
        <f t="shared" si="416"/>
        <v>0</v>
      </c>
      <c r="ZI26" s="90">
        <f t="shared" si="417"/>
        <v>0</v>
      </c>
      <c r="ZJ26" s="90">
        <f t="shared" si="418"/>
        <v>0</v>
      </c>
      <c r="ZK26" s="90">
        <f t="shared" si="419"/>
        <v>0</v>
      </c>
      <c r="ZL26" s="90">
        <f t="shared" si="420"/>
        <v>0.01</v>
      </c>
      <c r="ZM26" s="90">
        <f t="shared" si="421"/>
        <v>4.1100000000000003</v>
      </c>
      <c r="ZN26" s="90">
        <f t="shared" si="422"/>
        <v>6.64</v>
      </c>
      <c r="ZO26" s="90">
        <f t="shared" si="423"/>
        <v>6.7</v>
      </c>
      <c r="ZP26" s="90">
        <f t="shared" si="424"/>
        <v>4.8499999999999996</v>
      </c>
      <c r="ZQ26" s="90">
        <f t="shared" si="425"/>
        <v>0</v>
      </c>
      <c r="ZR26" s="90">
        <f t="shared" si="426"/>
        <v>4.8499999999999996</v>
      </c>
      <c r="ZS26" s="97">
        <v>227</v>
      </c>
      <c r="ZT26" s="97">
        <v>230.38</v>
      </c>
      <c r="ZU26" s="90">
        <f t="shared" si="427"/>
        <v>0.48</v>
      </c>
      <c r="ZV26" s="90">
        <f t="shared" si="428"/>
        <v>0.17</v>
      </c>
      <c r="ZW26" s="90">
        <v>0.11989898989898991</v>
      </c>
      <c r="ZX26" s="90">
        <f t="shared" si="429"/>
        <v>0.16039999999999999</v>
      </c>
      <c r="ZY26" s="90">
        <v>0.38175323599898991</v>
      </c>
      <c r="ZZ26" s="90">
        <f t="shared" si="430"/>
        <v>0.65</v>
      </c>
      <c r="AAA26" s="90">
        <f t="shared" si="431"/>
        <v>16.04</v>
      </c>
      <c r="AAB26" s="90">
        <f t="shared" si="432"/>
        <v>16.04</v>
      </c>
      <c r="AAC26" s="90">
        <f t="shared" si="433"/>
        <v>0</v>
      </c>
      <c r="AAD26" s="90"/>
      <c r="AAE26" s="90">
        <f t="shared" si="434"/>
        <v>16.04</v>
      </c>
      <c r="AAF26" s="90">
        <v>15.369999999999997</v>
      </c>
      <c r="AAG26" s="90">
        <f t="shared" si="435"/>
        <v>104.35914118412492</v>
      </c>
      <c r="AAH26" s="90">
        <f t="shared" si="436"/>
        <v>0</v>
      </c>
      <c r="AAI26" s="90">
        <v>0</v>
      </c>
      <c r="AAJ26" s="90"/>
      <c r="AAK26" s="1">
        <v>15.83</v>
      </c>
      <c r="AAL26" s="104">
        <f t="shared" si="437"/>
        <v>0.20999999999999908</v>
      </c>
      <c r="AAM26" s="103" t="s">
        <v>454</v>
      </c>
      <c r="AAN26" s="105">
        <v>6.46</v>
      </c>
      <c r="AAO26" s="90">
        <f t="shared" si="438"/>
        <v>7.13</v>
      </c>
      <c r="AAP26" s="90">
        <v>4.21</v>
      </c>
      <c r="AAQ26" s="90">
        <f t="shared" si="439"/>
        <v>4.18</v>
      </c>
      <c r="AAR26" s="90">
        <v>0.46</v>
      </c>
      <c r="AAS26" s="90">
        <f t="shared" si="440"/>
        <v>0.7</v>
      </c>
      <c r="AAT26" s="90">
        <f t="shared" si="441"/>
        <v>152.17391304347825</v>
      </c>
      <c r="AAU26" s="90">
        <v>1.79</v>
      </c>
      <c r="AAV26" s="90">
        <f t="shared" si="442"/>
        <v>1.79</v>
      </c>
      <c r="AAW26" s="90">
        <f t="shared" si="443"/>
        <v>100</v>
      </c>
      <c r="AAX26" s="90">
        <f t="shared" si="444"/>
        <v>0.46</v>
      </c>
      <c r="AAY26" s="90">
        <f t="shared" si="445"/>
        <v>0</v>
      </c>
      <c r="AAZ26" s="90">
        <f t="shared" si="446"/>
        <v>0</v>
      </c>
      <c r="ABA26" s="90">
        <f t="shared" si="447"/>
        <v>0</v>
      </c>
      <c r="ABB26" s="90">
        <f t="shared" si="448"/>
        <v>0</v>
      </c>
      <c r="ABC26" s="90">
        <v>0</v>
      </c>
      <c r="ABD26" s="90">
        <f t="shared" si="449"/>
        <v>0</v>
      </c>
      <c r="ABE26" s="90"/>
      <c r="ABF26" s="90">
        <v>0</v>
      </c>
      <c r="ABG26" s="90">
        <f t="shared" si="450"/>
        <v>0</v>
      </c>
      <c r="ABH26" s="90"/>
      <c r="ABI26" s="90">
        <f t="shared" si="451"/>
        <v>0</v>
      </c>
      <c r="ABJ26" s="90">
        <f t="shared" si="452"/>
        <v>0</v>
      </c>
      <c r="ABK26" s="90">
        <v>0</v>
      </c>
      <c r="ABL26" s="90">
        <f t="shared" si="453"/>
        <v>0</v>
      </c>
      <c r="ABM26" s="90">
        <f t="shared" si="454"/>
        <v>0</v>
      </c>
      <c r="ABN26" s="90">
        <f t="shared" si="455"/>
        <v>0.02</v>
      </c>
      <c r="ABO26" s="90">
        <v>3.91</v>
      </c>
      <c r="ABP26" s="90">
        <f t="shared" si="456"/>
        <v>4.1100000000000003</v>
      </c>
      <c r="ABQ26" s="90">
        <f t="shared" si="457"/>
        <v>105.1150895140665</v>
      </c>
      <c r="ABR26" s="90">
        <f t="shared" si="458"/>
        <v>6.64</v>
      </c>
      <c r="ABS26" s="90">
        <f t="shared" si="459"/>
        <v>6.7</v>
      </c>
      <c r="ABT26" s="90">
        <v>4.8499999999999996</v>
      </c>
      <c r="ABU26" s="90">
        <f t="shared" si="460"/>
        <v>4.8499999999999996</v>
      </c>
      <c r="ABV26" s="90">
        <f t="shared" si="461"/>
        <v>100</v>
      </c>
      <c r="ABW26" s="90">
        <f t="shared" si="462"/>
        <v>0</v>
      </c>
      <c r="ABX26" s="90">
        <f t="shared" si="463"/>
        <v>4.8499999999999996</v>
      </c>
      <c r="ABY26" s="97">
        <v>227</v>
      </c>
      <c r="ABZ26" s="97">
        <v>230.38</v>
      </c>
      <c r="ACA26" s="90">
        <f t="shared" si="464"/>
        <v>0.48</v>
      </c>
      <c r="ACB26" s="90">
        <f t="shared" si="465"/>
        <v>0.17</v>
      </c>
      <c r="ACC26" s="90">
        <v>0.11989898989898991</v>
      </c>
      <c r="ACD26" s="90">
        <f t="shared" si="466"/>
        <v>0.16280000000000003</v>
      </c>
      <c r="ACE26" s="90">
        <v>0.38175323599898991</v>
      </c>
      <c r="ACF26" s="90">
        <v>0.62</v>
      </c>
      <c r="ACG26" s="90">
        <f t="shared" si="467"/>
        <v>0.65</v>
      </c>
      <c r="ACH26" s="90">
        <f t="shared" si="468"/>
        <v>104.83870967741935</v>
      </c>
      <c r="ACI26" s="90">
        <f t="shared" si="469"/>
        <v>16.739999999999998</v>
      </c>
      <c r="ACJ26" s="90">
        <f t="shared" si="470"/>
        <v>16.28</v>
      </c>
      <c r="ACK26" s="90">
        <f t="shared" si="471"/>
        <v>-0.4599999999999973</v>
      </c>
      <c r="ACL26" s="90"/>
      <c r="ACM26" s="90">
        <f t="shared" si="472"/>
        <v>16.739999999999998</v>
      </c>
      <c r="ACN26" s="90">
        <f t="shared" si="473"/>
        <v>0</v>
      </c>
      <c r="ACO26" s="90">
        <f t="shared" si="474"/>
        <v>16.739999999999998</v>
      </c>
      <c r="ACP26" s="90">
        <v>15.84</v>
      </c>
      <c r="ACQ26" s="90">
        <f t="shared" si="475"/>
        <v>105.68181818181816</v>
      </c>
      <c r="ACR26" s="90">
        <f t="shared" si="476"/>
        <v>0</v>
      </c>
      <c r="ACS26" s="90">
        <v>0</v>
      </c>
      <c r="ACT26" s="90"/>
      <c r="ACU26" s="90">
        <f t="shared" si="477"/>
        <v>16.647839999999999</v>
      </c>
      <c r="ACV26" s="90">
        <f t="shared" si="478"/>
        <v>-9.2159999999999798E-2</v>
      </c>
      <c r="ACX26" s="106" t="s">
        <v>466</v>
      </c>
      <c r="ACY26" s="107"/>
      <c r="ACZ26" s="107">
        <v>190000</v>
      </c>
      <c r="ADB26" s="90">
        <f t="shared" si="479"/>
        <v>4.1100000000000003</v>
      </c>
      <c r="ADC26" s="90">
        <f t="shared" si="480"/>
        <v>7.13</v>
      </c>
      <c r="ADD26" s="90">
        <f t="shared" si="481"/>
        <v>4.18</v>
      </c>
      <c r="ADE26" s="90">
        <f t="shared" si="517"/>
        <v>1.1599999999999999</v>
      </c>
      <c r="ADF26" s="90">
        <f t="shared" si="483"/>
        <v>0.7</v>
      </c>
      <c r="ADG26" s="90">
        <f t="shared" si="539"/>
        <v>0.46</v>
      </c>
      <c r="ADH26" s="90">
        <f t="shared" si="539"/>
        <v>0</v>
      </c>
      <c r="ADI26" s="90">
        <f t="shared" si="539"/>
        <v>0</v>
      </c>
      <c r="ADJ26" s="90">
        <f t="shared" si="485"/>
        <v>1.79</v>
      </c>
      <c r="ADK26" s="90">
        <f t="shared" si="486"/>
        <v>0</v>
      </c>
      <c r="ADL26" s="90">
        <f t="shared" si="487"/>
        <v>0</v>
      </c>
      <c r="ADM26" s="90">
        <f t="shared" si="540"/>
        <v>0</v>
      </c>
      <c r="ADN26" s="90">
        <f t="shared" si="540"/>
        <v>0</v>
      </c>
      <c r="ADO26" s="90">
        <f t="shared" si="489"/>
        <v>1.79</v>
      </c>
      <c r="ADP26" s="90">
        <f t="shared" si="490"/>
        <v>4.8499999999999996</v>
      </c>
      <c r="ADQ26" s="90">
        <f t="shared" si="491"/>
        <v>0.65</v>
      </c>
      <c r="ADR26" s="90">
        <f t="shared" si="492"/>
        <v>16.739999999999998</v>
      </c>
      <c r="ADU26" s="90">
        <f t="shared" si="493"/>
        <v>1.1499999999999999</v>
      </c>
      <c r="ADV26" s="90">
        <f t="shared" si="494"/>
        <v>0.7</v>
      </c>
      <c r="ADW26" s="90">
        <f t="shared" si="495"/>
        <v>1.79</v>
      </c>
      <c r="ADX26" s="90">
        <f t="shared" si="496"/>
        <v>4.1100000000000003</v>
      </c>
      <c r="ADY26" s="90">
        <f t="shared" si="497"/>
        <v>8.5299999999999994</v>
      </c>
      <c r="ADZ26" s="90">
        <f t="shared" si="498"/>
        <v>0</v>
      </c>
      <c r="AEA26" s="90">
        <f t="shared" si="499"/>
        <v>16.739999999999998</v>
      </c>
      <c r="AEB26" s="90">
        <f t="shared" si="500"/>
        <v>0</v>
      </c>
      <c r="AEC26" s="104">
        <f t="shared" si="501"/>
        <v>16.28</v>
      </c>
      <c r="AED26" s="104">
        <f t="shared" si="502"/>
        <v>0.4599999999999973</v>
      </c>
      <c r="AEG26" s="1">
        <v>6.46</v>
      </c>
      <c r="AEH26" s="1">
        <v>4.21</v>
      </c>
      <c r="AEI26" s="1">
        <v>0.46</v>
      </c>
      <c r="AEJ26" s="1">
        <v>1.79</v>
      </c>
      <c r="AEK26" s="1">
        <v>0</v>
      </c>
      <c r="AEL26" s="1">
        <v>0</v>
      </c>
      <c r="AEM26" s="1">
        <v>0</v>
      </c>
      <c r="AEN26" s="1">
        <v>0</v>
      </c>
      <c r="AEO26" s="1">
        <v>0</v>
      </c>
      <c r="AEP26" s="1">
        <v>0</v>
      </c>
      <c r="AEQ26" s="1">
        <v>0</v>
      </c>
      <c r="AER26" s="1">
        <v>0</v>
      </c>
      <c r="AES26" s="1">
        <v>0</v>
      </c>
      <c r="AET26" s="1">
        <v>0</v>
      </c>
      <c r="AEU26" s="1">
        <v>0</v>
      </c>
      <c r="AEV26" s="1">
        <v>0.02</v>
      </c>
      <c r="AEW26" s="1">
        <v>3.91</v>
      </c>
      <c r="AEX26" s="1">
        <v>6.64</v>
      </c>
      <c r="AEY26" s="1">
        <v>6.7</v>
      </c>
      <c r="AEZ26" s="1">
        <v>4.8499999999999996</v>
      </c>
      <c r="AFA26" s="1">
        <v>0</v>
      </c>
      <c r="AFB26" s="1">
        <v>4.8499999999999996</v>
      </c>
      <c r="AFC26" s="1">
        <v>227</v>
      </c>
      <c r="AFD26" s="1">
        <v>230.38</v>
      </c>
      <c r="AFE26" s="1">
        <v>0.46</v>
      </c>
      <c r="AFF26" s="1">
        <v>0.16</v>
      </c>
      <c r="AFG26" s="1">
        <v>0.11989898989898991</v>
      </c>
      <c r="AFH26" s="1">
        <v>0.15840000000000001</v>
      </c>
      <c r="AFI26" s="1">
        <v>0.38175323599898991</v>
      </c>
      <c r="AFJ26" s="1">
        <v>0.62</v>
      </c>
      <c r="AFK26" s="1">
        <v>15.84</v>
      </c>
      <c r="AFL26" s="1">
        <v>15.84</v>
      </c>
      <c r="AFM26" s="1">
        <v>0</v>
      </c>
      <c r="AFO26" s="1">
        <v>15.84</v>
      </c>
      <c r="AFP26" s="1">
        <v>0</v>
      </c>
      <c r="AFQ26" s="1">
        <v>15.83</v>
      </c>
      <c r="AFX26" s="1">
        <v>16.52</v>
      </c>
    </row>
    <row r="27" spans="1:856" s="1" customFormat="1" ht="63.75" customHeight="1">
      <c r="A27" s="88">
        <v>19</v>
      </c>
      <c r="B27" s="20"/>
      <c r="C27" s="89" t="s">
        <v>491</v>
      </c>
      <c r="D27" s="20"/>
      <c r="E27" s="20" t="s">
        <v>437</v>
      </c>
      <c r="F27" s="20" t="s">
        <v>438</v>
      </c>
      <c r="G27" s="20">
        <v>0.8</v>
      </c>
      <c r="H27" s="20">
        <v>557.6</v>
      </c>
      <c r="I27" s="20">
        <v>557.6</v>
      </c>
      <c r="J27" s="20">
        <f t="shared" si="0"/>
        <v>446.08000000000004</v>
      </c>
      <c r="K27" s="20">
        <v>12</v>
      </c>
      <c r="L27" s="20"/>
      <c r="M27" s="20"/>
      <c r="N27" s="20"/>
      <c r="O27" s="90">
        <f t="shared" si="1"/>
        <v>0</v>
      </c>
      <c r="P27" s="20"/>
      <c r="Q27" s="20"/>
      <c r="R27" s="90">
        <f t="shared" si="2"/>
        <v>0</v>
      </c>
      <c r="S27" s="20">
        <v>58.5</v>
      </c>
      <c r="T27" s="20">
        <v>2.6</v>
      </c>
      <c r="U27" s="20">
        <v>3.13</v>
      </c>
      <c r="V27" s="91">
        <f t="shared" si="3"/>
        <v>476.07</v>
      </c>
      <c r="W27" s="20">
        <v>2.1000000000000001E-2</v>
      </c>
      <c r="X27" s="20">
        <f t="shared" si="4"/>
        <v>33.42</v>
      </c>
      <c r="Y27" s="91">
        <f t="shared" si="5"/>
        <v>41.06</v>
      </c>
      <c r="Z27" s="20"/>
      <c r="AA27" s="20"/>
      <c r="AB27" s="20"/>
      <c r="AC27" s="91">
        <f t="shared" si="6"/>
        <v>517.13</v>
      </c>
      <c r="AD27" s="90">
        <f t="shared" si="7"/>
        <v>0.93</v>
      </c>
      <c r="AE27" s="92">
        <f t="shared" si="8"/>
        <v>6205.5599999999995</v>
      </c>
      <c r="AF27" s="20">
        <v>31</v>
      </c>
      <c r="AG27" s="20">
        <v>31</v>
      </c>
      <c r="AH27" s="20">
        <v>31</v>
      </c>
      <c r="AI27" s="20">
        <v>30</v>
      </c>
      <c r="AJ27" s="20">
        <v>1.6</v>
      </c>
      <c r="AK27" s="90">
        <f t="shared" si="9"/>
        <v>4.13</v>
      </c>
      <c r="AL27" s="90">
        <v>391.01</v>
      </c>
      <c r="AM27" s="90">
        <f t="shared" si="10"/>
        <v>1614.87</v>
      </c>
      <c r="AN27" s="20">
        <v>31</v>
      </c>
      <c r="AO27" s="20">
        <v>31</v>
      </c>
      <c r="AP27" s="20">
        <v>31</v>
      </c>
      <c r="AQ27" s="20">
        <v>31</v>
      </c>
      <c r="AR27" s="20">
        <v>31</v>
      </c>
      <c r="AS27" s="20">
        <v>30</v>
      </c>
      <c r="AT27" s="20">
        <f t="shared" si="11"/>
        <v>0</v>
      </c>
      <c r="AU27" s="20">
        <v>1.6</v>
      </c>
      <c r="AV27" s="90">
        <f t="shared" si="12"/>
        <v>4.13</v>
      </c>
      <c r="AW27" s="90">
        <f t="shared" si="523"/>
        <v>188.88</v>
      </c>
      <c r="AX27" s="90">
        <v>755.52</v>
      </c>
      <c r="AY27" s="90">
        <f t="shared" si="14"/>
        <v>1.35</v>
      </c>
      <c r="AZ27" s="90">
        <f t="shared" si="15"/>
        <v>1616.17</v>
      </c>
      <c r="BA27" s="90">
        <f t="shared" si="16"/>
        <v>-860.65000000000009</v>
      </c>
      <c r="BB27" s="90">
        <v>755.52</v>
      </c>
      <c r="BC27" s="90">
        <v>1.35</v>
      </c>
      <c r="BD27" s="92">
        <f t="shared" si="17"/>
        <v>9066.24</v>
      </c>
      <c r="BE27" s="90"/>
      <c r="BF27" s="90">
        <f t="shared" si="18"/>
        <v>0</v>
      </c>
      <c r="BG27" s="90">
        <v>391.01</v>
      </c>
      <c r="BH27" s="90">
        <f t="shared" si="19"/>
        <v>1614.87</v>
      </c>
      <c r="BI27" s="90">
        <f t="shared" si="20"/>
        <v>2.9</v>
      </c>
      <c r="BJ27" s="90">
        <f t="shared" si="21"/>
        <v>214.81481481481478</v>
      </c>
      <c r="BK27" s="90">
        <f t="shared" si="22"/>
        <v>1614.87</v>
      </c>
      <c r="BL27" s="90">
        <f t="shared" si="23"/>
        <v>2.9</v>
      </c>
      <c r="BM27" s="90"/>
      <c r="BN27" s="90">
        <f t="shared" si="24"/>
        <v>0</v>
      </c>
      <c r="BO27" s="90">
        <f t="shared" si="25"/>
        <v>1614.87</v>
      </c>
      <c r="BP27" s="90">
        <f t="shared" si="26"/>
        <v>2.8961083213773313</v>
      </c>
      <c r="BQ27" s="90"/>
      <c r="BR27" s="90">
        <f t="shared" si="27"/>
        <v>0</v>
      </c>
      <c r="BS27" s="90">
        <f t="shared" si="28"/>
        <v>1614.87</v>
      </c>
      <c r="BT27" s="90">
        <f t="shared" si="29"/>
        <v>2.8961083213773313</v>
      </c>
      <c r="BU27" s="90"/>
      <c r="BV27" s="93">
        <v>1.4356370000000001</v>
      </c>
      <c r="BW27" s="90">
        <f t="shared" si="30"/>
        <v>800.5111912000001</v>
      </c>
      <c r="BX27" s="90">
        <f t="shared" si="31"/>
        <v>848.54186267200009</v>
      </c>
      <c r="BY27" s="90"/>
      <c r="BZ27" s="90"/>
      <c r="CA27" s="90">
        <v>0.2651</v>
      </c>
      <c r="CB27" s="90">
        <f t="shared" si="518"/>
        <v>147.81976</v>
      </c>
      <c r="CC27" s="90">
        <v>0.71072749999999996</v>
      </c>
      <c r="CD27" s="90">
        <f t="shared" si="33"/>
        <v>105.0595684754</v>
      </c>
      <c r="CE27" s="90">
        <f t="shared" si="34"/>
        <v>158.86073612777994</v>
      </c>
      <c r="CF27" s="90">
        <v>155.08622101614924</v>
      </c>
      <c r="CG27" s="90">
        <v>155.08622101614924</v>
      </c>
      <c r="CH27" s="90">
        <f t="shared" si="35"/>
        <v>162.53</v>
      </c>
      <c r="CI27" s="90">
        <f t="shared" si="524"/>
        <v>170.57690893480998</v>
      </c>
      <c r="CJ27" s="90">
        <f t="shared" si="36"/>
        <v>171.47</v>
      </c>
      <c r="CK27" s="90">
        <f t="shared" si="37"/>
        <v>181.35063030399087</v>
      </c>
      <c r="CL27" s="90">
        <f t="shared" si="38"/>
        <v>181.35063030399087</v>
      </c>
      <c r="CM27" s="94">
        <v>0.14899999999999999</v>
      </c>
      <c r="CN27" s="90">
        <f t="shared" si="39"/>
        <v>119.27616748880001</v>
      </c>
      <c r="CO27" s="90">
        <f t="shared" si="40"/>
        <v>126.43273753812802</v>
      </c>
      <c r="CP27" s="90"/>
      <c r="CQ27" s="90">
        <v>3.9539251999999997E-2</v>
      </c>
      <c r="CR27" s="90">
        <f t="shared" si="519"/>
        <v>22.047086915199998</v>
      </c>
      <c r="CS27" s="90">
        <v>0.71072749999999996</v>
      </c>
      <c r="CT27" s="90">
        <f t="shared" si="42"/>
        <v>15.669470965522805</v>
      </c>
      <c r="CU27" s="90">
        <f t="shared" si="43"/>
        <v>23.693831303892097</v>
      </c>
      <c r="CV27" s="90">
        <v>47.922142044803884</v>
      </c>
      <c r="CW27" s="90">
        <f t="shared" si="44"/>
        <v>50.22</v>
      </c>
      <c r="CX27" s="90">
        <f t="shared" si="525"/>
        <v>52.706407227626634</v>
      </c>
      <c r="CY27" s="90">
        <f t="shared" si="45"/>
        <v>52.98</v>
      </c>
      <c r="CZ27" s="90">
        <f t="shared" si="46"/>
        <v>56.035369801676126</v>
      </c>
      <c r="DA27" s="90">
        <f t="shared" si="47"/>
        <v>56.035369801676126</v>
      </c>
      <c r="DB27" s="93">
        <v>1.4169099999999999</v>
      </c>
      <c r="DC27" s="90">
        <f t="shared" si="48"/>
        <v>790.06901599999992</v>
      </c>
      <c r="DD27" s="90">
        <f t="shared" si="49"/>
        <v>837.47315695999998</v>
      </c>
      <c r="DE27" s="90"/>
      <c r="DF27" s="90"/>
      <c r="DG27" s="90">
        <v>0.16261500000000001</v>
      </c>
      <c r="DH27" s="90">
        <f t="shared" si="520"/>
        <v>90.674124000000006</v>
      </c>
      <c r="DI27" s="90">
        <v>0.71072749999999996</v>
      </c>
      <c r="DJ27" s="90">
        <f t="shared" si="51"/>
        <v>64.444593465210005</v>
      </c>
      <c r="DK27" s="90">
        <f t="shared" si="52"/>
        <v>97.446769541376611</v>
      </c>
      <c r="DL27" s="90">
        <v>77.089274157746047</v>
      </c>
      <c r="DM27" s="90">
        <f t="shared" si="53"/>
        <v>80.790000000000006</v>
      </c>
      <c r="DN27" s="90">
        <f t="shared" si="526"/>
        <v>84.789937075267943</v>
      </c>
      <c r="DO27" s="90">
        <f t="shared" si="54"/>
        <v>85.23</v>
      </c>
      <c r="DP27" s="90">
        <f t="shared" si="55"/>
        <v>90.145311156459869</v>
      </c>
      <c r="DQ27" s="90">
        <f t="shared" si="56"/>
        <v>90.145311156459869</v>
      </c>
      <c r="DR27" s="93">
        <v>5.6880149999999997E-2</v>
      </c>
      <c r="DS27" s="90">
        <f t="shared" si="57"/>
        <v>31.716371639999998</v>
      </c>
      <c r="DT27" s="90">
        <f t="shared" si="58"/>
        <v>33.619353938400003</v>
      </c>
      <c r="DU27" s="90"/>
      <c r="DV27" s="90">
        <v>6.1506E-3</v>
      </c>
      <c r="DW27" s="90">
        <f t="shared" si="521"/>
        <v>3.4295745600000003</v>
      </c>
      <c r="DX27" s="90">
        <v>0.71072749999999996</v>
      </c>
      <c r="DY27" s="90">
        <f t="shared" si="60"/>
        <v>2.4374929530923999</v>
      </c>
      <c r="DZ27" s="90">
        <f t="shared" si="61"/>
        <v>3.6857368677009554</v>
      </c>
      <c r="EA27" s="90">
        <f t="shared" si="62"/>
        <v>3.86</v>
      </c>
      <c r="EB27" s="90">
        <f t="shared" si="527"/>
        <v>4.0511097550505539</v>
      </c>
      <c r="EC27" s="90">
        <f t="shared" si="63"/>
        <v>4.07</v>
      </c>
      <c r="ED27" s="90">
        <f t="shared" si="64"/>
        <v>4.3069798374048167</v>
      </c>
      <c r="EE27" s="90">
        <f t="shared" si="65"/>
        <v>4.3069798374048167</v>
      </c>
      <c r="EF27" s="94">
        <v>0.85293354333000004</v>
      </c>
      <c r="EG27" s="90">
        <f t="shared" si="66"/>
        <v>380.47659500864643</v>
      </c>
      <c r="EH27" s="90">
        <f t="shared" si="67"/>
        <v>403.30519070916523</v>
      </c>
      <c r="EI27" s="90"/>
      <c r="EJ27" s="90">
        <v>0.58975</v>
      </c>
      <c r="EK27" s="90">
        <f t="shared" si="68"/>
        <v>263.07568000000003</v>
      </c>
      <c r="EL27" s="90">
        <v>0.71072749999999996</v>
      </c>
      <c r="EM27" s="90">
        <f t="shared" si="69"/>
        <v>186.97512035720001</v>
      </c>
      <c r="EN27" s="90">
        <f t="shared" si="70"/>
        <v>282.72536893657713</v>
      </c>
      <c r="EO27" s="90">
        <v>275.72637468459737</v>
      </c>
      <c r="EP27" s="90">
        <f t="shared" si="71"/>
        <v>288.95999999999998</v>
      </c>
      <c r="EQ27" s="90">
        <f t="shared" si="528"/>
        <v>303.26649606720412</v>
      </c>
      <c r="ER27" s="90">
        <f t="shared" si="72"/>
        <v>304.85000000000002</v>
      </c>
      <c r="ES27" s="90">
        <f t="shared" si="73"/>
        <v>322.42095694727863</v>
      </c>
      <c r="ET27" s="90">
        <f t="shared" si="74"/>
        <v>322.42095694727863</v>
      </c>
      <c r="EU27" s="94">
        <v>0.14899999999999999</v>
      </c>
      <c r="EV27" s="90">
        <f t="shared" si="75"/>
        <v>56.691012656288315</v>
      </c>
      <c r="EW27" s="90">
        <f t="shared" si="76"/>
        <v>60.092473415665616</v>
      </c>
      <c r="EX27" s="90"/>
      <c r="EY27" s="90">
        <v>8.7870000000000004E-2</v>
      </c>
      <c r="EZ27" s="90">
        <f t="shared" si="77"/>
        <v>39.197049600000007</v>
      </c>
      <c r="FA27" s="90">
        <v>0.71072749999999996</v>
      </c>
      <c r="FB27" s="90">
        <f t="shared" si="78"/>
        <v>27.858421069584004</v>
      </c>
      <c r="FC27" s="90">
        <f t="shared" si="79"/>
        <v>42.124761625192086</v>
      </c>
      <c r="FD27" s="90">
        <v>85.259074694255858</v>
      </c>
      <c r="FE27" s="90">
        <f t="shared" si="80"/>
        <v>89.35</v>
      </c>
      <c r="FF27" s="90">
        <f t="shared" si="529"/>
        <v>93.773745236727194</v>
      </c>
      <c r="FG27" s="90">
        <f t="shared" si="81"/>
        <v>94.26</v>
      </c>
      <c r="FH27" s="90">
        <f t="shared" si="82"/>
        <v>99.696541054953443</v>
      </c>
      <c r="FI27" s="90">
        <f t="shared" si="83"/>
        <v>99.696541054953443</v>
      </c>
      <c r="FJ27" s="93">
        <v>0.49981642240000002</v>
      </c>
      <c r="FK27" s="90">
        <f t="shared" si="84"/>
        <v>222.95810970419203</v>
      </c>
      <c r="FL27" s="90">
        <f t="shared" si="85"/>
        <v>236.33559628644355</v>
      </c>
      <c r="FM27" s="90"/>
      <c r="FN27" s="90">
        <v>0.35812500000000003</v>
      </c>
      <c r="FO27" s="90">
        <f t="shared" si="86"/>
        <v>159.75240000000002</v>
      </c>
      <c r="FP27" s="90">
        <v>0.71072749999999996</v>
      </c>
      <c r="FQ27" s="90">
        <f t="shared" si="87"/>
        <v>113.54042387100002</v>
      </c>
      <c r="FR27" s="90">
        <f t="shared" si="88"/>
        <v>171.68465070014699</v>
      </c>
      <c r="FS27" s="90">
        <v>135.3398549368664</v>
      </c>
      <c r="FT27" s="90">
        <f t="shared" si="89"/>
        <v>141.84</v>
      </c>
      <c r="FU27" s="90">
        <v>135.45303163741227</v>
      </c>
      <c r="FV27" s="90">
        <f t="shared" si="90"/>
        <v>141.94999999999999</v>
      </c>
      <c r="FW27" s="90">
        <f t="shared" si="530"/>
        <v>148.97798697653525</v>
      </c>
      <c r="FX27" s="90">
        <f t="shared" si="91"/>
        <v>149.76</v>
      </c>
      <c r="FY27" s="90">
        <f t="shared" si="92"/>
        <v>158.38750982373409</v>
      </c>
      <c r="FZ27" s="90">
        <f t="shared" si="93"/>
        <v>158.38750982373409</v>
      </c>
      <c r="GA27" s="94">
        <v>1.352261642E-2</v>
      </c>
      <c r="GB27" s="90">
        <f t="shared" si="94"/>
        <v>6.0321687326336004</v>
      </c>
      <c r="GC27" s="90">
        <f t="shared" si="95"/>
        <v>6.3940988565916168</v>
      </c>
      <c r="GD27" s="90"/>
      <c r="GE27" s="90">
        <v>1.0749999999999999E-2</v>
      </c>
      <c r="GF27" s="90">
        <f t="shared" si="96"/>
        <v>4.7953599999999996</v>
      </c>
      <c r="GG27" s="90">
        <v>0.71072749999999996</v>
      </c>
      <c r="GH27" s="90">
        <f t="shared" si="97"/>
        <v>3.4081942243999994</v>
      </c>
      <c r="GI27" s="90">
        <f t="shared" si="98"/>
        <v>5.153535762726924</v>
      </c>
      <c r="GJ27" s="90">
        <f t="shared" si="99"/>
        <v>5.4</v>
      </c>
      <c r="GK27" s="90">
        <f t="shared" si="531"/>
        <v>5.6673556158738325</v>
      </c>
      <c r="GL27" s="90">
        <f t="shared" si="100"/>
        <v>5.7</v>
      </c>
      <c r="GM27" s="90">
        <f t="shared" si="101"/>
        <v>6.0253085808253912</v>
      </c>
      <c r="GN27" s="90">
        <f t="shared" si="102"/>
        <v>6.0253085808253912</v>
      </c>
      <c r="GO27" s="90">
        <v>2391.6</v>
      </c>
      <c r="GP27" s="90">
        <f t="shared" si="103"/>
        <v>199.29999999999998</v>
      </c>
      <c r="GQ27" s="90">
        <f>1587.6+138.6</f>
        <v>1726.1999999999998</v>
      </c>
      <c r="GR27" s="90">
        <f t="shared" si="104"/>
        <v>143.85</v>
      </c>
      <c r="GS27" s="90">
        <f t="shared" si="105"/>
        <v>343.15</v>
      </c>
      <c r="GT27" s="90">
        <f t="shared" si="106"/>
        <v>0.62</v>
      </c>
      <c r="GU27" s="90">
        <v>2276.1999999999998</v>
      </c>
      <c r="GV27" s="90">
        <f>1254+110.2</f>
        <v>1364.2</v>
      </c>
      <c r="GW27" s="90">
        <f t="shared" si="107"/>
        <v>303.36666666666662</v>
      </c>
      <c r="GX27" s="90">
        <f t="shared" si="108"/>
        <v>0.54</v>
      </c>
      <c r="GY27" s="90">
        <v>4029.9</v>
      </c>
      <c r="GZ27" s="90">
        <f>1333.8+117.8</f>
        <v>1451.6</v>
      </c>
      <c r="HA27" s="90">
        <f t="shared" si="109"/>
        <v>456.79166666666669</v>
      </c>
      <c r="HB27" s="90">
        <f t="shared" si="110"/>
        <v>0.82</v>
      </c>
      <c r="HC27" s="90">
        <v>4029.9</v>
      </c>
      <c r="HD27" s="90">
        <f>1333.8+117.8</f>
        <v>1451.6</v>
      </c>
      <c r="HE27" s="90">
        <f t="shared" si="111"/>
        <v>456.79166666666669</v>
      </c>
      <c r="HF27" s="90">
        <f t="shared" si="112"/>
        <v>0.82</v>
      </c>
      <c r="HG27" s="90"/>
      <c r="HH27" s="90"/>
      <c r="HI27" s="90">
        <v>0.96</v>
      </c>
      <c r="HJ27" s="90">
        <f t="shared" si="113"/>
        <v>535.29600000000005</v>
      </c>
      <c r="HK27" s="90">
        <f t="shared" si="114"/>
        <v>1.0060796269727403</v>
      </c>
      <c r="HL27" s="90">
        <f t="shared" si="115"/>
        <v>560.99</v>
      </c>
      <c r="HM27" s="90">
        <v>1.07</v>
      </c>
      <c r="HN27" s="90">
        <f t="shared" si="116"/>
        <v>596.63200000000006</v>
      </c>
      <c r="HO27" s="90">
        <v>1.1499999999999999</v>
      </c>
      <c r="HP27" s="90">
        <f t="shared" si="117"/>
        <v>641.24</v>
      </c>
      <c r="HQ27" s="90">
        <v>1.1499999999999999</v>
      </c>
      <c r="HR27" s="90">
        <f t="shared" si="118"/>
        <v>641.24</v>
      </c>
      <c r="HS27" s="90">
        <v>0.31919999999999998</v>
      </c>
      <c r="HT27" s="90">
        <f t="shared" si="119"/>
        <v>177.98591999999999</v>
      </c>
      <c r="HU27" s="90" t="e">
        <f>HT27*#REF!</f>
        <v>#REF!</v>
      </c>
      <c r="HV27" s="90">
        <v>2.83</v>
      </c>
      <c r="HW27" s="90">
        <v>3.1</v>
      </c>
      <c r="HX27" s="90">
        <f t="shared" si="120"/>
        <v>1728.5600000000002</v>
      </c>
      <c r="HY27" s="90">
        <v>1.06</v>
      </c>
      <c r="HZ27" s="90">
        <f t="shared" si="121"/>
        <v>1832.2736000000002</v>
      </c>
      <c r="IA27" s="90">
        <f t="shared" si="122"/>
        <v>3.29</v>
      </c>
      <c r="IB27" s="90">
        <f t="shared" si="123"/>
        <v>3.45</v>
      </c>
      <c r="IC27" s="90">
        <f t="shared" si="124"/>
        <v>1923.7200000000003</v>
      </c>
      <c r="ID27" s="90">
        <f t="shared" si="125"/>
        <v>3.64</v>
      </c>
      <c r="IE27" s="90">
        <f t="shared" si="126"/>
        <v>2029.66</v>
      </c>
      <c r="IF27" s="90">
        <f t="shared" si="127"/>
        <v>3.64</v>
      </c>
      <c r="IG27" s="92">
        <f t="shared" si="128"/>
        <v>24355.920000000002</v>
      </c>
      <c r="IH27" s="90">
        <v>3.91</v>
      </c>
      <c r="II27" s="90">
        <f t="shared" si="129"/>
        <v>4.1100000000000003</v>
      </c>
      <c r="IJ27" s="90">
        <f t="shared" si="130"/>
        <v>2291.7399999999998</v>
      </c>
      <c r="IK27" s="90">
        <f t="shared" si="131"/>
        <v>4.1100000000000003</v>
      </c>
      <c r="IL27" s="90">
        <f t="shared" si="132"/>
        <v>2291.7399999999998</v>
      </c>
      <c r="IM27" s="90">
        <f t="shared" si="133"/>
        <v>4.1100000000000003</v>
      </c>
      <c r="IN27" s="90">
        <f t="shared" si="134"/>
        <v>2291.7399999999998</v>
      </c>
      <c r="IO27" s="90">
        <f t="shared" si="135"/>
        <v>4.1100000000000003</v>
      </c>
      <c r="IP27" s="93">
        <v>0.37052404126999999</v>
      </c>
      <c r="IQ27" s="90">
        <f t="shared" si="136"/>
        <v>165.28336432972162</v>
      </c>
      <c r="IR27" s="90">
        <f t="shared" si="137"/>
        <v>175.20036618950493</v>
      </c>
      <c r="IS27" s="90">
        <v>108693.96</v>
      </c>
      <c r="IT27" s="90">
        <v>3053.33</v>
      </c>
      <c r="IU27" s="94"/>
      <c r="IV27" s="94"/>
      <c r="IW27" s="94">
        <v>1.6976249999999999</v>
      </c>
      <c r="IX27" s="90">
        <f t="shared" si="138"/>
        <v>757.27656000000002</v>
      </c>
      <c r="IY27" s="93">
        <v>0.56339614052999998</v>
      </c>
      <c r="IZ27" s="90">
        <f t="shared" si="139"/>
        <v>314.14968795952802</v>
      </c>
      <c r="JA27" s="90">
        <f t="shared" si="140"/>
        <v>329.23</v>
      </c>
      <c r="JB27" s="90">
        <f t="shared" si="532"/>
        <v>345.53027581743368</v>
      </c>
      <c r="JC27" s="90">
        <f t="shared" si="141"/>
        <v>347.34</v>
      </c>
      <c r="JD27" s="90">
        <f t="shared" si="142"/>
        <v>367.35413778984139</v>
      </c>
      <c r="JE27" s="90">
        <f t="shared" si="143"/>
        <v>367.35413778984139</v>
      </c>
      <c r="JF27" s="93">
        <v>4.2278943710000003E-2</v>
      </c>
      <c r="JG27" s="90">
        <f t="shared" si="144"/>
        <v>18.859791210156803</v>
      </c>
      <c r="JH27" s="90">
        <f t="shared" si="145"/>
        <v>19.991378682766214</v>
      </c>
      <c r="JI27" s="20">
        <v>462.98</v>
      </c>
      <c r="JJ27" s="20"/>
      <c r="JK27" s="20">
        <v>6.0624999999999998E-2</v>
      </c>
      <c r="JL27" s="90">
        <f t="shared" si="146"/>
        <v>27.043600000000001</v>
      </c>
      <c r="JM27" s="93">
        <v>6.7347080040000007E-2</v>
      </c>
      <c r="JN27" s="90">
        <f t="shared" si="147"/>
        <v>37.552731830304005</v>
      </c>
      <c r="JO27" s="90">
        <f t="shared" si="148"/>
        <v>39.36</v>
      </c>
      <c r="JP27" s="90">
        <f t="shared" si="533"/>
        <v>41.308725377924823</v>
      </c>
      <c r="JQ27" s="90">
        <f t="shared" si="149"/>
        <v>41.52</v>
      </c>
      <c r="JR27" s="90">
        <f t="shared" si="150"/>
        <v>43.917804766905071</v>
      </c>
      <c r="JS27" s="90">
        <f t="shared" si="151"/>
        <v>43.917804766905071</v>
      </c>
      <c r="JT27" s="93">
        <v>7.3220517000000002E-3</v>
      </c>
      <c r="JU27" s="90">
        <f t="shared" si="152"/>
        <v>3.2662208223360003</v>
      </c>
      <c r="JV27" s="90">
        <f t="shared" si="153"/>
        <v>3.42</v>
      </c>
      <c r="JW27" s="90">
        <f t="shared" si="534"/>
        <v>3.5893252233867603</v>
      </c>
      <c r="JX27" s="90">
        <f t="shared" si="154"/>
        <v>3.61</v>
      </c>
      <c r="JY27" s="90">
        <f t="shared" si="155"/>
        <v>3.8160287678560807</v>
      </c>
      <c r="JZ27" s="90">
        <f t="shared" si="156"/>
        <v>3.8160287678560807</v>
      </c>
      <c r="KA27" s="90">
        <v>8.3090999999999998E-3</v>
      </c>
      <c r="KB27" s="90">
        <f t="shared" si="157"/>
        <v>3.7065233280000003</v>
      </c>
      <c r="KC27" s="90" t="e">
        <f>KB27*#REF!</f>
        <v>#REF!</v>
      </c>
      <c r="KD27" s="90">
        <v>34406.519999999997</v>
      </c>
      <c r="KE27" s="90">
        <v>40292.97</v>
      </c>
      <c r="KF27" s="90"/>
      <c r="KG27" s="90">
        <f t="shared" si="522"/>
        <v>652.99716658354293</v>
      </c>
      <c r="KH27" s="90" t="e">
        <f>KG27/(BW27+#REF!)*(CB27+#REF!)</f>
        <v>#REF!</v>
      </c>
      <c r="KI27" s="90">
        <v>0.8</v>
      </c>
      <c r="KJ27" s="94"/>
      <c r="KK27" s="90">
        <f t="shared" si="159"/>
        <v>0</v>
      </c>
      <c r="KL27" s="93">
        <v>1.2690177</v>
      </c>
      <c r="KM27" s="90">
        <f t="shared" si="160"/>
        <v>707.60426952</v>
      </c>
      <c r="KN27" s="90">
        <f t="shared" si="161"/>
        <v>750.06052569120004</v>
      </c>
      <c r="KO27" s="90" t="e">
        <f>BW27+CN27+DC27+DS27+EG27+EV27+FK27+GB27+#REF!+#REF!+HJ27+HX27+IQ27+JG27+JU27+KK27+KM27</f>
        <v>#REF!</v>
      </c>
      <c r="KP27" s="90"/>
      <c r="KQ27" s="90">
        <v>0.50815001599999998</v>
      </c>
      <c r="KR27" s="90">
        <f t="shared" si="514"/>
        <v>283.34444892160002</v>
      </c>
      <c r="KS27" s="90">
        <v>0.71072749999999996</v>
      </c>
      <c r="KT27" s="90">
        <f t="shared" si="163"/>
        <v>201.38069182092647</v>
      </c>
      <c r="KU27" s="90">
        <f t="shared" si="164"/>
        <v>304.5080558472394</v>
      </c>
      <c r="KV27" s="90">
        <f t="shared" si="165"/>
        <v>319.12</v>
      </c>
      <c r="KW27" s="90">
        <f t="shared" si="535"/>
        <v>334.91972669215875</v>
      </c>
      <c r="KX27" s="90">
        <f t="shared" si="166"/>
        <v>336.67</v>
      </c>
      <c r="KY27" s="90">
        <f t="shared" si="167"/>
        <v>356.07342116907381</v>
      </c>
      <c r="KZ27" s="90">
        <f t="shared" si="168"/>
        <v>356.07342116907381</v>
      </c>
      <c r="LA27" s="90">
        <f t="shared" si="169"/>
        <v>2185.79</v>
      </c>
      <c r="LB27" s="90">
        <f t="shared" si="170"/>
        <v>3.92</v>
      </c>
      <c r="LC27" s="92">
        <f t="shared" si="171"/>
        <v>26229.48</v>
      </c>
      <c r="LD27" s="92">
        <v>4.21</v>
      </c>
      <c r="LE27" s="92">
        <v>2347.5</v>
      </c>
      <c r="LF27" s="90">
        <f t="shared" si="172"/>
        <v>4.18</v>
      </c>
      <c r="LG27" s="90">
        <f t="shared" si="173"/>
        <v>2330.77</v>
      </c>
      <c r="LH27" s="90">
        <f t="shared" si="174"/>
        <v>2349.7242499999998</v>
      </c>
      <c r="LI27" s="90">
        <f t="shared" si="175"/>
        <v>4.21</v>
      </c>
      <c r="LJ27" s="90">
        <f t="shared" si="176"/>
        <v>2330.7699999999995</v>
      </c>
      <c r="LK27" s="90">
        <f t="shared" si="177"/>
        <v>4.18</v>
      </c>
      <c r="LL27" s="90">
        <f t="shared" si="178"/>
        <v>2330.7699999999995</v>
      </c>
      <c r="LM27" s="90">
        <f t="shared" si="179"/>
        <v>4.18</v>
      </c>
      <c r="LN27" s="95">
        <v>0.46</v>
      </c>
      <c r="LO27" s="95">
        <f t="shared" si="180"/>
        <v>256.5</v>
      </c>
      <c r="LP27" s="95"/>
      <c r="LQ27" s="95">
        <f t="shared" si="181"/>
        <v>0</v>
      </c>
      <c r="LR27" s="90"/>
      <c r="LS27" s="90"/>
      <c r="LT27" s="90">
        <f t="shared" si="182"/>
        <v>0</v>
      </c>
      <c r="LU27" s="90"/>
      <c r="LV27" s="90">
        <f t="shared" si="183"/>
        <v>0</v>
      </c>
      <c r="LW27" s="90">
        <f t="shared" si="184"/>
        <v>0</v>
      </c>
      <c r="LX27" s="90"/>
      <c r="LY27" s="90"/>
      <c r="LZ27" s="90">
        <f t="shared" si="185"/>
        <v>0</v>
      </c>
      <c r="MA27" s="90"/>
      <c r="MB27" s="90">
        <f t="shared" si="186"/>
        <v>0</v>
      </c>
      <c r="MC27" s="90">
        <f t="shared" si="187"/>
        <v>0</v>
      </c>
      <c r="MD27" s="90"/>
      <c r="ME27" s="90"/>
      <c r="MF27" s="90">
        <f t="shared" si="188"/>
        <v>0</v>
      </c>
      <c r="MG27" s="90"/>
      <c r="MH27" s="90">
        <f t="shared" si="189"/>
        <v>0</v>
      </c>
      <c r="MI27" s="90">
        <f t="shared" si="190"/>
        <v>0</v>
      </c>
      <c r="MJ27" s="90"/>
      <c r="MK27" s="90"/>
      <c r="ML27" s="90">
        <f t="shared" si="191"/>
        <v>0</v>
      </c>
      <c r="MM27" s="90"/>
      <c r="MN27" s="90">
        <f t="shared" si="192"/>
        <v>0</v>
      </c>
      <c r="MO27" s="90">
        <f t="shared" si="193"/>
        <v>0</v>
      </c>
      <c r="MP27" s="90">
        <f t="shared" si="194"/>
        <v>0</v>
      </c>
      <c r="MQ27" s="90">
        <f t="shared" si="195"/>
        <v>0</v>
      </c>
      <c r="MR27" s="90">
        <f t="shared" si="196"/>
        <v>0</v>
      </c>
      <c r="MS27" s="90">
        <f t="shared" si="197"/>
        <v>0</v>
      </c>
      <c r="MT27" s="95"/>
      <c r="MU27" s="95">
        <f t="shared" si="198"/>
        <v>0</v>
      </c>
      <c r="MV27" s="92">
        <f t="shared" si="199"/>
        <v>0</v>
      </c>
      <c r="MW27" s="95"/>
      <c r="MX27" s="95">
        <f t="shared" si="200"/>
        <v>0</v>
      </c>
      <c r="MY27" s="95"/>
      <c r="MZ27" s="95">
        <f t="shared" si="201"/>
        <v>0</v>
      </c>
      <c r="NA27" s="95"/>
      <c r="NB27" s="95">
        <f t="shared" si="202"/>
        <v>0</v>
      </c>
      <c r="NC27" s="92">
        <f t="shared" si="203"/>
        <v>0</v>
      </c>
      <c r="ND27" s="95"/>
      <c r="NE27" s="95">
        <f t="shared" si="204"/>
        <v>0</v>
      </c>
      <c r="NF27" s="95"/>
      <c r="NG27" s="95">
        <f t="shared" si="205"/>
        <v>0</v>
      </c>
      <c r="NH27" s="95"/>
      <c r="NI27" s="95"/>
      <c r="NJ27" s="95">
        <f t="shared" si="206"/>
        <v>0</v>
      </c>
      <c r="NK27" s="92">
        <f t="shared" si="207"/>
        <v>0</v>
      </c>
      <c r="NL27" s="95"/>
      <c r="NM27" s="95">
        <f t="shared" si="208"/>
        <v>0</v>
      </c>
      <c r="NN27" s="95"/>
      <c r="NO27" s="95">
        <f t="shared" si="209"/>
        <v>0</v>
      </c>
      <c r="NP27" s="95"/>
      <c r="NQ27" s="95">
        <f t="shared" si="210"/>
        <v>0</v>
      </c>
      <c r="NR27" s="92">
        <f t="shared" si="211"/>
        <v>0</v>
      </c>
      <c r="NS27" s="95"/>
      <c r="NT27" s="95">
        <f t="shared" si="212"/>
        <v>0</v>
      </c>
      <c r="NU27" s="95"/>
      <c r="NV27" s="95">
        <f t="shared" si="213"/>
        <v>0</v>
      </c>
      <c r="NW27" s="95"/>
      <c r="NX27" s="95">
        <f t="shared" si="214"/>
        <v>0</v>
      </c>
      <c r="NY27" s="92">
        <f t="shared" si="215"/>
        <v>0</v>
      </c>
      <c r="NZ27" s="95"/>
      <c r="OA27" s="95">
        <f t="shared" si="216"/>
        <v>0</v>
      </c>
      <c r="OB27" s="95"/>
      <c r="OC27" s="95">
        <f t="shared" si="217"/>
        <v>0</v>
      </c>
      <c r="OD27" s="90">
        <v>2949.7</v>
      </c>
      <c r="OE27" s="90">
        <f t="shared" si="218"/>
        <v>5.29</v>
      </c>
      <c r="OF27" s="92">
        <f t="shared" si="219"/>
        <v>35396.399999999994</v>
      </c>
      <c r="OG27" s="96">
        <v>755.52</v>
      </c>
      <c r="OH27" s="96">
        <v>1.35</v>
      </c>
      <c r="OI27" s="90">
        <v>3713.62</v>
      </c>
      <c r="OJ27" s="90">
        <f t="shared" si="220"/>
        <v>6.66</v>
      </c>
      <c r="OK27" s="90">
        <f t="shared" si="221"/>
        <v>3705.22</v>
      </c>
      <c r="OL27" s="90">
        <f t="shared" si="222"/>
        <v>6.64</v>
      </c>
      <c r="OM27" s="90">
        <f t="shared" si="223"/>
        <v>2.0000000000000462E-2</v>
      </c>
      <c r="ON27" s="90">
        <v>2960.86</v>
      </c>
      <c r="OO27" s="90">
        <f t="shared" si="224"/>
        <v>5.31</v>
      </c>
      <c r="OP27" s="90">
        <v>2958.1</v>
      </c>
      <c r="OQ27" s="90">
        <v>5.31</v>
      </c>
      <c r="OR27" s="90">
        <f t="shared" si="225"/>
        <v>0</v>
      </c>
      <c r="OS27" s="90">
        <f t="shared" si="226"/>
        <v>5.3100000000000005</v>
      </c>
      <c r="OT27" s="90">
        <v>2960.86</v>
      </c>
      <c r="OU27" s="90">
        <f t="shared" si="227"/>
        <v>5.31</v>
      </c>
      <c r="OV27" s="97">
        <v>2403.2600000000002</v>
      </c>
      <c r="OW27" s="90">
        <f t="shared" si="228"/>
        <v>2403.2600000000002</v>
      </c>
      <c r="OX27" s="90">
        <f t="shared" si="229"/>
        <v>4.3099999999999996</v>
      </c>
      <c r="OY27" s="90">
        <f>OU27-1</f>
        <v>4.3099999999999996</v>
      </c>
      <c r="OZ27" s="90"/>
      <c r="PA27" s="90"/>
      <c r="PB27" s="95">
        <f t="shared" si="230"/>
        <v>0</v>
      </c>
      <c r="PC27" s="92">
        <f t="shared" si="231"/>
        <v>0</v>
      </c>
      <c r="PD27" s="90"/>
      <c r="PE27" s="95">
        <f t="shared" si="232"/>
        <v>0</v>
      </c>
      <c r="PF27" s="90">
        <f t="shared" si="233"/>
        <v>8263.82</v>
      </c>
      <c r="PG27" s="90">
        <f t="shared" si="234"/>
        <v>14.82</v>
      </c>
      <c r="PH27" s="90">
        <f t="shared" si="235"/>
        <v>9353.9316666666673</v>
      </c>
      <c r="PI27" s="90">
        <f t="shared" si="236"/>
        <v>16.78</v>
      </c>
      <c r="PJ27" s="90">
        <f t="shared" si="237"/>
        <v>9353.9316666666673</v>
      </c>
      <c r="PK27" s="90">
        <f t="shared" si="238"/>
        <v>16.78</v>
      </c>
      <c r="PL27" s="90"/>
      <c r="PM27" s="90">
        <f t="shared" si="239"/>
        <v>247.91</v>
      </c>
      <c r="PN27" s="90">
        <f t="shared" si="240"/>
        <v>0.44</v>
      </c>
      <c r="PO27" s="92">
        <f t="shared" si="241"/>
        <v>2974.92</v>
      </c>
      <c r="PP27" s="90">
        <f t="shared" si="242"/>
        <v>280.62</v>
      </c>
      <c r="PQ27" s="90">
        <f t="shared" si="243"/>
        <v>0.5</v>
      </c>
      <c r="PR27" s="90">
        <f t="shared" si="244"/>
        <v>280.62</v>
      </c>
      <c r="PS27" s="90">
        <f t="shared" si="245"/>
        <v>0.5</v>
      </c>
      <c r="PT27" s="90">
        <f t="shared" si="246"/>
        <v>8511.73</v>
      </c>
      <c r="PU27" s="90">
        <f t="shared" si="247"/>
        <v>15.26</v>
      </c>
      <c r="PV27" s="90">
        <f t="shared" si="248"/>
        <v>9634.5516666666681</v>
      </c>
      <c r="PW27" s="90">
        <f t="shared" si="249"/>
        <v>17.28</v>
      </c>
      <c r="PX27" s="90">
        <f t="shared" si="250"/>
        <v>9634.5516666666681</v>
      </c>
      <c r="PY27" s="90">
        <f t="shared" si="251"/>
        <v>17.28</v>
      </c>
      <c r="PZ27" s="90">
        <f t="shared" si="252"/>
        <v>85.98</v>
      </c>
      <c r="QA27" s="90">
        <f t="shared" si="253"/>
        <v>0.15</v>
      </c>
      <c r="QB27" s="92">
        <f t="shared" si="254"/>
        <v>1031.76</v>
      </c>
      <c r="QC27" s="90">
        <f t="shared" si="255"/>
        <v>97.32</v>
      </c>
      <c r="QD27" s="90">
        <f t="shared" si="256"/>
        <v>0.17</v>
      </c>
      <c r="QE27" s="90">
        <f t="shared" si="257"/>
        <v>97.32</v>
      </c>
      <c r="QF27" s="90">
        <f t="shared" si="258"/>
        <v>0.17</v>
      </c>
      <c r="QG27" s="90">
        <f t="shared" si="259"/>
        <v>8597.7099999999991</v>
      </c>
      <c r="QH27" s="90">
        <f t="shared" si="260"/>
        <v>15.42</v>
      </c>
      <c r="QI27" s="92">
        <f t="shared" si="261"/>
        <v>103172.51999999999</v>
      </c>
      <c r="QJ27" s="90">
        <f t="shared" si="262"/>
        <v>350.33972669215876</v>
      </c>
      <c r="QK27" s="98">
        <f t="shared" si="263"/>
        <v>0.25169999999999998</v>
      </c>
      <c r="QL27" s="90">
        <f t="shared" si="264"/>
        <v>140.34791999999999</v>
      </c>
      <c r="QM27" s="90">
        <f t="shared" si="265"/>
        <v>0.1128</v>
      </c>
      <c r="QN27" s="90">
        <f t="shared" si="266"/>
        <v>62.897280000000002</v>
      </c>
      <c r="QO27" s="90">
        <v>0.21869999999999998</v>
      </c>
      <c r="QP27" s="90">
        <v>0.14579999999999999</v>
      </c>
      <c r="QQ27" s="97">
        <f t="shared" si="267"/>
        <v>203.24519999999998</v>
      </c>
      <c r="QR27" s="97">
        <v>203.24520000000001</v>
      </c>
      <c r="QS27" s="97">
        <f t="shared" si="268"/>
        <v>0</v>
      </c>
      <c r="QT27" s="90"/>
      <c r="QU27" s="90">
        <f t="shared" si="269"/>
        <v>0.1128</v>
      </c>
      <c r="QV27" s="90">
        <f t="shared" si="270"/>
        <v>62.897280000000002</v>
      </c>
      <c r="QW27" s="90">
        <f t="shared" si="271"/>
        <v>203.24519999999998</v>
      </c>
      <c r="QX27" s="90">
        <f t="shared" si="272"/>
        <v>0.36449999999999994</v>
      </c>
      <c r="QY27" s="90"/>
      <c r="QZ27" s="90"/>
      <c r="RA27" s="90"/>
      <c r="RB27" s="90">
        <v>2075.1800000000003</v>
      </c>
      <c r="RC27" s="97">
        <f t="shared" si="273"/>
        <v>8597.7099999999991</v>
      </c>
      <c r="RD27" s="97">
        <f t="shared" si="274"/>
        <v>15.42</v>
      </c>
      <c r="RE27" s="90">
        <f t="shared" si="275"/>
        <v>9731.8716666666678</v>
      </c>
      <c r="RF27" s="90">
        <f t="shared" si="276"/>
        <v>17.45</v>
      </c>
      <c r="RG27" s="90">
        <f t="shared" si="277"/>
        <v>113.23815704088254</v>
      </c>
      <c r="RH27" s="90">
        <f t="shared" si="278"/>
        <v>9731.8716666666678</v>
      </c>
      <c r="RI27" s="90">
        <f t="shared" si="279"/>
        <v>17.45</v>
      </c>
      <c r="RJ27" s="90">
        <v>17.21</v>
      </c>
      <c r="RK27" s="90">
        <v>0</v>
      </c>
      <c r="RL27" s="90">
        <f t="shared" si="280"/>
        <v>0.23999999999999844</v>
      </c>
      <c r="RM27" s="90">
        <f t="shared" si="281"/>
        <v>105.69351907934588</v>
      </c>
      <c r="RN27" s="90">
        <f t="shared" si="282"/>
        <v>5631.95</v>
      </c>
      <c r="RO27" s="90"/>
      <c r="RP27" s="90"/>
      <c r="RQ27" s="99">
        <v>622</v>
      </c>
      <c r="RR27" s="90">
        <f t="shared" si="283"/>
        <v>5648.0099999999993</v>
      </c>
      <c r="RS27" s="90">
        <f t="shared" si="284"/>
        <v>10.129142754662839</v>
      </c>
      <c r="RT27" s="90">
        <v>11.28</v>
      </c>
      <c r="RU27" s="90">
        <f t="shared" si="285"/>
        <v>6289.7280000000001</v>
      </c>
      <c r="RV27" s="90">
        <f t="shared" si="286"/>
        <v>0.62829936637761608</v>
      </c>
      <c r="RW27" s="90">
        <v>10.43</v>
      </c>
      <c r="RX27" s="90">
        <f t="shared" si="287"/>
        <v>10.951499999999999</v>
      </c>
      <c r="RY27" s="90">
        <f t="shared" si="288"/>
        <v>6106.5563999999995</v>
      </c>
      <c r="RZ27" s="90">
        <f t="shared" si="289"/>
        <v>1611.0386178145036</v>
      </c>
      <c r="SA27" s="90">
        <f t="shared" si="290"/>
        <v>720.77397720233557</v>
      </c>
      <c r="SB27" s="90">
        <f t="shared" si="291"/>
        <v>1089.8834467126319</v>
      </c>
      <c r="SC27" s="90">
        <f t="shared" si="292"/>
        <v>1980.1480873248001</v>
      </c>
      <c r="SD27" s="90">
        <f t="shared" si="293"/>
        <v>1980.1480873248001</v>
      </c>
      <c r="SE27" s="90">
        <f t="shared" si="294"/>
        <v>2009.9681901059844</v>
      </c>
      <c r="SF27" s="90">
        <f t="shared" si="295"/>
        <v>1980.0349106242543</v>
      </c>
      <c r="SG27" s="90">
        <f t="shared" si="296"/>
        <v>0.11317670054586415</v>
      </c>
      <c r="SH27" s="90">
        <f t="shared" si="297"/>
        <v>1980.1480873248001</v>
      </c>
      <c r="SI27" s="90">
        <f t="shared" si="298"/>
        <v>3.5511981480000001</v>
      </c>
      <c r="SJ27" s="90">
        <f t="shared" si="299"/>
        <v>3.5509951768727657</v>
      </c>
      <c r="SK27" s="90"/>
      <c r="SL27" s="90"/>
      <c r="SM27" s="90"/>
      <c r="SN27" s="90">
        <f t="shared" si="300"/>
        <v>2119.9300000000003</v>
      </c>
      <c r="SO27" s="90" t="e">
        <f>RU27-#REF!-#REF!-HZ27-LT27-LZ27-MF27-ML27-QL27-QN27-SD27</f>
        <v>#REF!</v>
      </c>
      <c r="SP27" s="90">
        <f t="shared" si="301"/>
        <v>2075.1800000000003</v>
      </c>
      <c r="SQ27" s="90">
        <f t="shared" si="302"/>
        <v>2185.79</v>
      </c>
      <c r="SR27" s="90">
        <f t="shared" si="303"/>
        <v>3.7216284074605457</v>
      </c>
      <c r="SS27" s="90">
        <f t="shared" si="304"/>
        <v>3.919996413199426</v>
      </c>
      <c r="ST27" s="90">
        <f t="shared" si="305"/>
        <v>2194.0920000000001</v>
      </c>
      <c r="SU27" s="90">
        <v>3.7216284074605457</v>
      </c>
      <c r="SV27" s="90">
        <f t="shared" si="306"/>
        <v>3.93</v>
      </c>
      <c r="SW27" s="90">
        <v>3.92</v>
      </c>
      <c r="SX27" s="90">
        <f t="shared" si="307"/>
        <v>2185.79</v>
      </c>
      <c r="SY27" s="90">
        <v>3.7216284074605457</v>
      </c>
      <c r="SZ27" s="90">
        <f t="shared" si="308"/>
        <v>2075.1800000000003</v>
      </c>
      <c r="TA27" s="90">
        <f t="shared" si="309"/>
        <v>0</v>
      </c>
      <c r="TB27" s="90">
        <v>0</v>
      </c>
      <c r="TC27" s="90">
        <f t="shared" si="310"/>
        <v>1188.2127999999993</v>
      </c>
      <c r="TD27" s="90" t="e">
        <f>#REF!+#REF!</f>
        <v>#REF!</v>
      </c>
      <c r="TE27" s="90" t="e">
        <f t="shared" si="311"/>
        <v>#REF!</v>
      </c>
      <c r="TF27" s="90">
        <v>1182.5094666666664</v>
      </c>
      <c r="TG27" s="90">
        <f t="shared" si="312"/>
        <v>18.891322486441375</v>
      </c>
      <c r="TH27" s="95"/>
      <c r="TI27" s="95"/>
      <c r="TJ27" s="95"/>
      <c r="TK27" s="95"/>
      <c r="TL27" s="95"/>
      <c r="TM27" s="95">
        <f t="shared" si="313"/>
        <v>0</v>
      </c>
      <c r="TN27" s="95">
        <f t="shared" si="314"/>
        <v>6289.7280000000001</v>
      </c>
      <c r="TO27" s="95">
        <f t="shared" si="315"/>
        <v>18.891322486441375</v>
      </c>
      <c r="TP27" s="95"/>
      <c r="TQ27" s="95">
        <f t="shared" si="316"/>
        <v>11.28</v>
      </c>
      <c r="TR27" s="95"/>
      <c r="TS27" s="95"/>
      <c r="TT27" s="95"/>
      <c r="TU27" s="95"/>
      <c r="TV27" s="95"/>
      <c r="TW27" s="95"/>
      <c r="TX27" s="95"/>
      <c r="TY27" s="95"/>
      <c r="TZ27" s="95">
        <f t="shared" si="317"/>
        <v>3.2313829787234036</v>
      </c>
      <c r="UA27" s="95">
        <f t="shared" si="318"/>
        <v>0.49632000000000004</v>
      </c>
      <c r="UB27" s="90">
        <v>0</v>
      </c>
      <c r="UC27" s="90">
        <f t="shared" si="319"/>
        <v>0</v>
      </c>
      <c r="UD27" s="90">
        <f t="shared" si="320"/>
        <v>0</v>
      </c>
      <c r="UE27" s="90">
        <f t="shared" si="321"/>
        <v>0</v>
      </c>
      <c r="UF27" s="90">
        <f t="shared" si="322"/>
        <v>6289.7280000000001</v>
      </c>
      <c r="UG27" s="91">
        <f t="shared" si="323"/>
        <v>0</v>
      </c>
      <c r="UH27" s="95">
        <f t="shared" si="324"/>
        <v>18.891322486441375</v>
      </c>
      <c r="UI27" s="95">
        <f t="shared" si="325"/>
        <v>6289.7280000000001</v>
      </c>
      <c r="UJ27" s="101">
        <f t="shared" si="326"/>
        <v>0</v>
      </c>
      <c r="UK27" s="101">
        <f t="shared" si="327"/>
        <v>18.891322486441375</v>
      </c>
      <c r="UL27" s="90" t="e">
        <f>(#REF!+#REF!+HZ27+LT27+LZ27+MF27+ML27+QL27+QN27+SN27+TC27+TM27+UC27)/I27</f>
        <v>#REF!</v>
      </c>
      <c r="UN27" s="90" t="e">
        <f>#REF!/I27</f>
        <v>#REF!</v>
      </c>
      <c r="UO27" s="90" t="e">
        <f>#REF!/I27</f>
        <v>#REF!</v>
      </c>
      <c r="UP27" s="90">
        <v>1.1499999999999999</v>
      </c>
      <c r="UQ27" s="90" t="e">
        <f t="shared" si="328"/>
        <v>#REF!</v>
      </c>
      <c r="UR27" s="90">
        <f t="shared" si="329"/>
        <v>5648.0099999999993</v>
      </c>
      <c r="US27" s="90">
        <f t="shared" si="330"/>
        <v>6918.6866666666656</v>
      </c>
      <c r="UT27" s="90">
        <f t="shared" si="331"/>
        <v>6918.6866666666656</v>
      </c>
      <c r="UU27" s="90">
        <f t="shared" si="516"/>
        <v>7175.1866666666656</v>
      </c>
      <c r="UV27" s="90">
        <f t="shared" si="333"/>
        <v>7072.1116666666658</v>
      </c>
      <c r="UW27" s="90">
        <f t="shared" si="334"/>
        <v>5.8900000000000006</v>
      </c>
      <c r="UX27" s="90">
        <f t="shared" si="335"/>
        <v>3.92</v>
      </c>
      <c r="UY27" s="90">
        <f t="shared" si="336"/>
        <v>3.8018830703012916</v>
      </c>
      <c r="UZ27" s="100">
        <f t="shared" si="337"/>
        <v>3.5511981480000001</v>
      </c>
      <c r="VA27" s="90">
        <f t="shared" si="338"/>
        <v>0.62</v>
      </c>
      <c r="VB27" s="90">
        <f t="shared" si="339"/>
        <v>1.35</v>
      </c>
      <c r="VC27" s="90">
        <f t="shared" si="340"/>
        <v>0</v>
      </c>
      <c r="VD27" s="90">
        <f t="shared" si="341"/>
        <v>0</v>
      </c>
      <c r="VE27" s="90">
        <f t="shared" si="342"/>
        <v>0</v>
      </c>
      <c r="VF27" s="90">
        <f t="shared" si="343"/>
        <v>0</v>
      </c>
      <c r="VG27" s="90">
        <f t="shared" si="344"/>
        <v>0</v>
      </c>
      <c r="VH27" s="90">
        <f t="shared" si="345"/>
        <v>0</v>
      </c>
      <c r="VI27" s="90">
        <f t="shared" si="346"/>
        <v>0</v>
      </c>
      <c r="VJ27" s="90">
        <f t="shared" si="347"/>
        <v>0</v>
      </c>
      <c r="VK27" s="90">
        <f t="shared" si="348"/>
        <v>0.93</v>
      </c>
      <c r="VL27" s="90">
        <f t="shared" si="349"/>
        <v>3.64</v>
      </c>
      <c r="VM27" s="90">
        <f t="shared" si="350"/>
        <v>5.29</v>
      </c>
      <c r="VN27" s="90">
        <f t="shared" si="351"/>
        <v>0</v>
      </c>
      <c r="VO27" s="90">
        <f t="shared" si="352"/>
        <v>5.29</v>
      </c>
      <c r="VP27" s="97">
        <v>0</v>
      </c>
      <c r="VQ27" s="97">
        <v>5.29</v>
      </c>
      <c r="VR27" s="90">
        <f t="shared" si="353"/>
        <v>0.44</v>
      </c>
      <c r="VS27" s="90">
        <f t="shared" si="354"/>
        <v>0.15</v>
      </c>
      <c r="VT27" s="90">
        <v>0.11989898989898991</v>
      </c>
      <c r="VU27" s="90">
        <f t="shared" si="355"/>
        <v>0.15410000000000001</v>
      </c>
      <c r="VV27" s="90">
        <v>0.38175323599898991</v>
      </c>
      <c r="VW27" s="90">
        <f t="shared" si="356"/>
        <v>0.59</v>
      </c>
      <c r="VX27" s="90">
        <f t="shared" si="357"/>
        <v>15.41</v>
      </c>
      <c r="VY27" s="90">
        <f t="shared" si="358"/>
        <v>15.41</v>
      </c>
      <c r="VZ27" s="90">
        <f t="shared" si="359"/>
        <v>0</v>
      </c>
      <c r="WA27" s="90"/>
      <c r="WB27" s="90">
        <f t="shared" si="360"/>
        <v>15.41</v>
      </c>
      <c r="WC27" s="90">
        <f t="shared" si="361"/>
        <v>0</v>
      </c>
      <c r="WD27" s="90"/>
      <c r="WE27" s="90">
        <v>15.41</v>
      </c>
      <c r="WF27" s="90"/>
      <c r="WG27" s="90">
        <f t="shared" si="362"/>
        <v>8592.616</v>
      </c>
      <c r="WH27" s="90">
        <f t="shared" si="363"/>
        <v>8592.616</v>
      </c>
      <c r="WI27" s="90">
        <f t="shared" si="364"/>
        <v>8597.7099999999991</v>
      </c>
      <c r="WJ27" s="90">
        <f t="shared" si="365"/>
        <v>5648.0099999999993</v>
      </c>
      <c r="WK27" s="97">
        <v>2949.7</v>
      </c>
      <c r="WL27" s="97">
        <v>5.29</v>
      </c>
      <c r="WM27" s="90">
        <f t="shared" si="366"/>
        <v>2949.7</v>
      </c>
      <c r="WN27" s="90">
        <f t="shared" si="367"/>
        <v>5.29</v>
      </c>
      <c r="WO27" s="90"/>
      <c r="WP27" s="97">
        <v>11.920000000000002</v>
      </c>
      <c r="WQ27" s="90">
        <f t="shared" si="368"/>
        <v>15.41</v>
      </c>
      <c r="WR27" s="91">
        <f t="shared" si="369"/>
        <v>136.61347517730496</v>
      </c>
      <c r="WS27" s="91">
        <f t="shared" si="370"/>
        <v>136.61347517730496</v>
      </c>
      <c r="WT27" s="90">
        <f t="shared" si="371"/>
        <v>6646.59</v>
      </c>
      <c r="WU27" s="90">
        <f t="shared" si="372"/>
        <v>8597.7099999999991</v>
      </c>
      <c r="WV27" s="90">
        <f t="shared" si="373"/>
        <v>-1951.119999999999</v>
      </c>
      <c r="WW27" s="90"/>
      <c r="WX27" s="90"/>
      <c r="WY27" s="90"/>
      <c r="WZ27" s="90">
        <f t="shared" si="374"/>
        <v>1.9119959595959588</v>
      </c>
      <c r="XA27" s="90">
        <v>0</v>
      </c>
      <c r="XB27" s="90">
        <f t="shared" si="375"/>
        <v>1.9119959595959588</v>
      </c>
      <c r="XC27" s="90">
        <f t="shared" si="376"/>
        <v>0.35759999999999997</v>
      </c>
      <c r="XD27" s="90">
        <f t="shared" si="377"/>
        <v>0.1204040404040404</v>
      </c>
      <c r="XE27" s="90"/>
      <c r="XF27" s="90">
        <f t="shared" si="378"/>
        <v>11.92</v>
      </c>
      <c r="XG27" s="90">
        <v>2.1207128168340503</v>
      </c>
      <c r="XH27" s="20">
        <v>11.28</v>
      </c>
      <c r="XI27" s="20">
        <v>0</v>
      </c>
      <c r="XJ27" s="20"/>
      <c r="XK27" s="20"/>
      <c r="XL27" s="20"/>
      <c r="XM27" s="20">
        <f t="shared" si="379"/>
        <v>11.28</v>
      </c>
      <c r="XN27" s="91">
        <f t="shared" si="380"/>
        <v>136.61347517730496</v>
      </c>
      <c r="XO27" s="20">
        <f t="shared" si="381"/>
        <v>11.28</v>
      </c>
      <c r="XP27" s="90">
        <f t="shared" si="382"/>
        <v>11.28</v>
      </c>
      <c r="XQ27" s="91">
        <f t="shared" si="383"/>
        <v>136.61347517730496</v>
      </c>
      <c r="XR27" s="102"/>
      <c r="XS27" s="90">
        <f t="shared" si="384"/>
        <v>3.64</v>
      </c>
      <c r="XT27" s="90">
        <f t="shared" si="385"/>
        <v>5.8900000000000006</v>
      </c>
      <c r="XU27" s="90">
        <f t="shared" si="386"/>
        <v>3.92</v>
      </c>
      <c r="XV27" s="90">
        <f t="shared" si="387"/>
        <v>0.62</v>
      </c>
      <c r="XW27" s="90">
        <f t="shared" si="388"/>
        <v>0.62</v>
      </c>
      <c r="XX27" s="90">
        <f t="shared" si="389"/>
        <v>0</v>
      </c>
      <c r="XY27" s="90">
        <f t="shared" si="390"/>
        <v>1.35</v>
      </c>
      <c r="XZ27" s="90">
        <f t="shared" si="391"/>
        <v>0</v>
      </c>
      <c r="YA27" s="90">
        <f t="shared" si="392"/>
        <v>0</v>
      </c>
      <c r="YB27" s="90">
        <f t="shared" si="537"/>
        <v>0</v>
      </c>
      <c r="YC27" s="90">
        <f t="shared" si="537"/>
        <v>0</v>
      </c>
      <c r="YD27" s="90">
        <f t="shared" si="394"/>
        <v>1.35</v>
      </c>
      <c r="YE27" s="90">
        <f t="shared" si="395"/>
        <v>5.29</v>
      </c>
      <c r="YF27" s="90">
        <f t="shared" si="396"/>
        <v>0.59</v>
      </c>
      <c r="YG27" s="90">
        <f t="shared" si="397"/>
        <v>15.41</v>
      </c>
      <c r="YI27" s="103" t="s">
        <v>472</v>
      </c>
      <c r="YK27" s="90">
        <f t="shared" si="398"/>
        <v>1.07</v>
      </c>
      <c r="YL27" s="90">
        <f t="shared" si="538"/>
        <v>0.62</v>
      </c>
      <c r="YM27" s="90">
        <f t="shared" si="538"/>
        <v>1.35</v>
      </c>
      <c r="YN27" s="90">
        <f t="shared" si="400"/>
        <v>3.64</v>
      </c>
      <c r="YO27" s="90">
        <f t="shared" si="401"/>
        <v>8.73</v>
      </c>
      <c r="YP27" s="90">
        <f t="shared" si="402"/>
        <v>0</v>
      </c>
      <c r="YQ27" s="90">
        <f t="shared" si="403"/>
        <v>15.41</v>
      </c>
      <c r="YR27" s="90">
        <f t="shared" si="404"/>
        <v>0</v>
      </c>
      <c r="YS27" s="104">
        <f t="shared" si="405"/>
        <v>15.41</v>
      </c>
      <c r="YT27" s="104">
        <f t="shared" si="406"/>
        <v>0</v>
      </c>
      <c r="YY27" s="90">
        <f t="shared" si="407"/>
        <v>7.6199999999999992</v>
      </c>
      <c r="YZ27" s="90">
        <f t="shared" si="408"/>
        <v>4.18</v>
      </c>
      <c r="ZA27" s="90">
        <f t="shared" si="409"/>
        <v>0.54</v>
      </c>
      <c r="ZB27" s="90">
        <f t="shared" si="410"/>
        <v>2.9</v>
      </c>
      <c r="ZC27" s="90">
        <f t="shared" si="411"/>
        <v>0</v>
      </c>
      <c r="ZD27" s="90">
        <f t="shared" si="412"/>
        <v>0</v>
      </c>
      <c r="ZE27" s="90">
        <f t="shared" si="413"/>
        <v>0</v>
      </c>
      <c r="ZF27" s="90">
        <f t="shared" si="414"/>
        <v>0</v>
      </c>
      <c r="ZG27" s="90">
        <f t="shared" si="415"/>
        <v>0</v>
      </c>
      <c r="ZH27" s="90">
        <f t="shared" si="416"/>
        <v>0</v>
      </c>
      <c r="ZI27" s="90">
        <f t="shared" si="417"/>
        <v>0</v>
      </c>
      <c r="ZJ27" s="90">
        <f t="shared" si="418"/>
        <v>0</v>
      </c>
      <c r="ZK27" s="90">
        <f t="shared" si="419"/>
        <v>0</v>
      </c>
      <c r="ZL27" s="90">
        <f t="shared" si="420"/>
        <v>0.02</v>
      </c>
      <c r="ZM27" s="90">
        <f t="shared" si="421"/>
        <v>4.1100000000000003</v>
      </c>
      <c r="ZN27" s="90">
        <f t="shared" si="422"/>
        <v>7.2099999999999991</v>
      </c>
      <c r="ZO27" s="90">
        <f t="shared" si="423"/>
        <v>6.64</v>
      </c>
      <c r="ZP27" s="90">
        <f t="shared" si="424"/>
        <v>4.3099999999999996</v>
      </c>
      <c r="ZQ27" s="90">
        <f t="shared" si="425"/>
        <v>0</v>
      </c>
      <c r="ZR27" s="90">
        <f t="shared" si="426"/>
        <v>4.3099999999999996</v>
      </c>
      <c r="ZS27" s="97">
        <v>227</v>
      </c>
      <c r="ZT27" s="97">
        <v>230.38</v>
      </c>
      <c r="ZU27" s="90">
        <f t="shared" si="427"/>
        <v>0.5</v>
      </c>
      <c r="ZV27" s="90">
        <f t="shared" si="428"/>
        <v>0.17</v>
      </c>
      <c r="ZW27" s="90">
        <v>0.11989898989898991</v>
      </c>
      <c r="ZX27" s="90">
        <f t="shared" si="429"/>
        <v>0.1671</v>
      </c>
      <c r="ZY27" s="90">
        <v>0.38175323599898991</v>
      </c>
      <c r="ZZ27" s="90">
        <f t="shared" si="430"/>
        <v>0.67</v>
      </c>
      <c r="AAA27" s="90">
        <f t="shared" si="431"/>
        <v>16.71</v>
      </c>
      <c r="AAB27" s="90">
        <f t="shared" si="432"/>
        <v>16.71</v>
      </c>
      <c r="AAC27" s="90">
        <f t="shared" si="433"/>
        <v>0</v>
      </c>
      <c r="AAD27" s="90"/>
      <c r="AAE27" s="90">
        <f t="shared" si="434"/>
        <v>16.71</v>
      </c>
      <c r="AAF27" s="90">
        <v>15.41</v>
      </c>
      <c r="AAG27" s="90">
        <f t="shared" si="435"/>
        <v>108.43608046722908</v>
      </c>
      <c r="AAH27" s="90">
        <f t="shared" si="436"/>
        <v>0</v>
      </c>
      <c r="AAI27" s="90">
        <v>0</v>
      </c>
      <c r="AAJ27" s="90"/>
      <c r="AAK27" s="1">
        <v>16.5</v>
      </c>
      <c r="AAL27" s="104">
        <f t="shared" si="437"/>
        <v>0.21000000000000085</v>
      </c>
      <c r="AAM27" s="103" t="s">
        <v>492</v>
      </c>
      <c r="AAN27" s="105">
        <v>7.6400000000000006</v>
      </c>
      <c r="AAO27" s="90">
        <f t="shared" si="438"/>
        <v>8.3600000000000012</v>
      </c>
      <c r="AAP27" s="90">
        <v>4.21</v>
      </c>
      <c r="AAQ27" s="90">
        <f t="shared" si="439"/>
        <v>4.18</v>
      </c>
      <c r="AAR27" s="90">
        <v>0.54</v>
      </c>
      <c r="AAS27" s="90">
        <f t="shared" si="440"/>
        <v>0.82</v>
      </c>
      <c r="AAT27" s="90">
        <f t="shared" si="441"/>
        <v>151.85185185185185</v>
      </c>
      <c r="AAU27" s="90">
        <v>2.89</v>
      </c>
      <c r="AAV27" s="90">
        <f t="shared" si="442"/>
        <v>2.9</v>
      </c>
      <c r="AAW27" s="90">
        <f t="shared" si="443"/>
        <v>100.34602076124565</v>
      </c>
      <c r="AAX27" s="90">
        <f t="shared" si="444"/>
        <v>0.46</v>
      </c>
      <c r="AAY27" s="90">
        <f t="shared" si="445"/>
        <v>0</v>
      </c>
      <c r="AAZ27" s="90">
        <f t="shared" si="446"/>
        <v>0</v>
      </c>
      <c r="ABA27" s="90">
        <f t="shared" si="447"/>
        <v>0</v>
      </c>
      <c r="ABB27" s="90">
        <f t="shared" si="448"/>
        <v>0</v>
      </c>
      <c r="ABC27" s="90">
        <v>0</v>
      </c>
      <c r="ABD27" s="90">
        <f t="shared" si="449"/>
        <v>0</v>
      </c>
      <c r="ABE27" s="90"/>
      <c r="ABF27" s="90">
        <v>0</v>
      </c>
      <c r="ABG27" s="90">
        <f t="shared" si="450"/>
        <v>0</v>
      </c>
      <c r="ABH27" s="90"/>
      <c r="ABI27" s="90">
        <f t="shared" si="451"/>
        <v>0</v>
      </c>
      <c r="ABJ27" s="90">
        <f t="shared" si="452"/>
        <v>0</v>
      </c>
      <c r="ABK27" s="90">
        <v>0</v>
      </c>
      <c r="ABL27" s="90">
        <f t="shared" si="453"/>
        <v>0</v>
      </c>
      <c r="ABM27" s="90">
        <f t="shared" si="454"/>
        <v>0</v>
      </c>
      <c r="ABN27" s="90">
        <f t="shared" si="455"/>
        <v>0.02</v>
      </c>
      <c r="ABO27" s="90">
        <v>3.91</v>
      </c>
      <c r="ABP27" s="90">
        <f t="shared" si="456"/>
        <v>4.1100000000000003</v>
      </c>
      <c r="ABQ27" s="90">
        <f t="shared" si="457"/>
        <v>105.1150895140665</v>
      </c>
      <c r="ABR27" s="90">
        <f t="shared" si="458"/>
        <v>7.2099999999999991</v>
      </c>
      <c r="ABS27" s="90">
        <f t="shared" si="459"/>
        <v>6.64</v>
      </c>
      <c r="ABT27" s="90">
        <v>4.3099999999999996</v>
      </c>
      <c r="ABU27" s="90">
        <f t="shared" si="460"/>
        <v>4.3099999999999996</v>
      </c>
      <c r="ABV27" s="90">
        <f t="shared" si="461"/>
        <v>100</v>
      </c>
      <c r="ABW27" s="90">
        <f t="shared" si="462"/>
        <v>0</v>
      </c>
      <c r="ABX27" s="90">
        <f t="shared" si="463"/>
        <v>4.3099999999999996</v>
      </c>
      <c r="ABY27" s="97">
        <v>227</v>
      </c>
      <c r="ABZ27" s="97">
        <v>230.38</v>
      </c>
      <c r="ACA27" s="90">
        <f t="shared" si="464"/>
        <v>0.5</v>
      </c>
      <c r="ACB27" s="90">
        <f t="shared" si="465"/>
        <v>0.17</v>
      </c>
      <c r="ACC27" s="90">
        <v>0.11989898989898991</v>
      </c>
      <c r="ACD27" s="90">
        <f t="shared" si="466"/>
        <v>0.16990000000000002</v>
      </c>
      <c r="ACE27" s="90">
        <v>0.38175323599898991</v>
      </c>
      <c r="ACF27" s="90">
        <v>0.65</v>
      </c>
      <c r="ACG27" s="90">
        <f t="shared" si="467"/>
        <v>0.67</v>
      </c>
      <c r="ACH27" s="90">
        <f t="shared" si="468"/>
        <v>103.07692307692309</v>
      </c>
      <c r="ACI27" s="90">
        <f t="shared" si="469"/>
        <v>17.450000000000003</v>
      </c>
      <c r="ACJ27" s="90">
        <f t="shared" si="470"/>
        <v>16.990000000000002</v>
      </c>
      <c r="ACK27" s="90">
        <f t="shared" si="471"/>
        <v>-0.46000000000000085</v>
      </c>
      <c r="ACL27" s="90"/>
      <c r="ACM27" s="90">
        <f t="shared" si="472"/>
        <v>17.450000000000003</v>
      </c>
      <c r="ACN27" s="90">
        <f t="shared" si="473"/>
        <v>0</v>
      </c>
      <c r="ACO27" s="90">
        <f t="shared" si="474"/>
        <v>17.450000000000003</v>
      </c>
      <c r="ACP27" s="90">
        <v>16.509999999999998</v>
      </c>
      <c r="ACQ27" s="90">
        <f t="shared" si="475"/>
        <v>105.69351907934588</v>
      </c>
      <c r="ACR27" s="90">
        <f t="shared" si="476"/>
        <v>0</v>
      </c>
      <c r="ACS27" s="90">
        <v>0</v>
      </c>
      <c r="ACT27" s="90"/>
      <c r="ACU27" s="90">
        <f t="shared" si="477"/>
        <v>17.352009999999996</v>
      </c>
      <c r="ACV27" s="90">
        <f t="shared" si="478"/>
        <v>-9.7990000000006461E-2</v>
      </c>
      <c r="ACX27" s="106" t="s">
        <v>493</v>
      </c>
      <c r="ACY27" s="107"/>
      <c r="ACZ27" s="107">
        <v>50000</v>
      </c>
      <c r="ADB27" s="90">
        <f t="shared" si="479"/>
        <v>4.1100000000000003</v>
      </c>
      <c r="ADC27" s="90">
        <f t="shared" si="480"/>
        <v>8.36</v>
      </c>
      <c r="ADD27" s="90">
        <f t="shared" si="481"/>
        <v>4.18</v>
      </c>
      <c r="ADE27" s="90">
        <f t="shared" si="517"/>
        <v>1.28</v>
      </c>
      <c r="ADF27" s="90">
        <f t="shared" si="483"/>
        <v>0.82</v>
      </c>
      <c r="ADG27" s="90">
        <f t="shared" si="539"/>
        <v>0.46</v>
      </c>
      <c r="ADH27" s="90">
        <f t="shared" si="539"/>
        <v>0</v>
      </c>
      <c r="ADI27" s="90">
        <f t="shared" si="539"/>
        <v>0</v>
      </c>
      <c r="ADJ27" s="90">
        <f t="shared" si="485"/>
        <v>2.9</v>
      </c>
      <c r="ADK27" s="90">
        <f t="shared" si="486"/>
        <v>0</v>
      </c>
      <c r="ADL27" s="90">
        <f t="shared" si="487"/>
        <v>0</v>
      </c>
      <c r="ADM27" s="90">
        <f t="shared" si="540"/>
        <v>0</v>
      </c>
      <c r="ADN27" s="90">
        <f t="shared" si="540"/>
        <v>0</v>
      </c>
      <c r="ADO27" s="90">
        <f t="shared" si="489"/>
        <v>2.9</v>
      </c>
      <c r="ADP27" s="90">
        <f t="shared" si="490"/>
        <v>4.3099999999999996</v>
      </c>
      <c r="ADQ27" s="90">
        <f t="shared" si="491"/>
        <v>0.67</v>
      </c>
      <c r="ADR27" s="90">
        <f t="shared" si="492"/>
        <v>17.45</v>
      </c>
      <c r="ADU27" s="90">
        <f t="shared" si="493"/>
        <v>1.1499999999999999</v>
      </c>
      <c r="ADV27" s="90">
        <f t="shared" si="494"/>
        <v>0.82</v>
      </c>
      <c r="ADW27" s="90">
        <f t="shared" si="495"/>
        <v>2.9</v>
      </c>
      <c r="ADX27" s="90">
        <f t="shared" si="496"/>
        <v>4.1100000000000003</v>
      </c>
      <c r="ADY27" s="90">
        <f t="shared" si="497"/>
        <v>8.01</v>
      </c>
      <c r="ADZ27" s="90">
        <f t="shared" si="498"/>
        <v>0</v>
      </c>
      <c r="AEA27" s="90">
        <f t="shared" si="499"/>
        <v>17.450000000000003</v>
      </c>
      <c r="AEB27" s="90">
        <f t="shared" si="500"/>
        <v>0</v>
      </c>
      <c r="AEC27" s="104">
        <f t="shared" si="501"/>
        <v>16.990000000000002</v>
      </c>
      <c r="AED27" s="104">
        <f t="shared" si="502"/>
        <v>0.46000000000000085</v>
      </c>
      <c r="AEG27" s="1">
        <v>7.6400000000000006</v>
      </c>
      <c r="AEH27" s="1">
        <v>4.21</v>
      </c>
      <c r="AEI27" s="1">
        <v>0.54</v>
      </c>
      <c r="AEJ27" s="1">
        <v>2.89</v>
      </c>
      <c r="AEK27" s="1">
        <v>0</v>
      </c>
      <c r="AEL27" s="1">
        <v>0</v>
      </c>
      <c r="AEM27" s="1">
        <v>0</v>
      </c>
      <c r="AEN27" s="1">
        <v>0</v>
      </c>
      <c r="AEO27" s="1">
        <v>0</v>
      </c>
      <c r="AEP27" s="1">
        <v>0</v>
      </c>
      <c r="AEQ27" s="1">
        <v>0</v>
      </c>
      <c r="AER27" s="1">
        <v>0</v>
      </c>
      <c r="AES27" s="1">
        <v>0</v>
      </c>
      <c r="AET27" s="1">
        <v>0</v>
      </c>
      <c r="AEU27" s="1">
        <v>0</v>
      </c>
      <c r="AEV27" s="1">
        <v>0.02</v>
      </c>
      <c r="AEW27" s="1">
        <v>3.91</v>
      </c>
      <c r="AEX27" s="1">
        <v>7.1999999999999993</v>
      </c>
      <c r="AEY27" s="1">
        <v>6.64</v>
      </c>
      <c r="AEZ27" s="1">
        <v>4.3099999999999996</v>
      </c>
      <c r="AFA27" s="1">
        <v>0</v>
      </c>
      <c r="AFB27" s="1">
        <v>4.3099999999999996</v>
      </c>
      <c r="AFC27" s="1">
        <v>227</v>
      </c>
      <c r="AFD27" s="1">
        <v>230.38</v>
      </c>
      <c r="AFE27" s="1">
        <v>0.48</v>
      </c>
      <c r="AFF27" s="1">
        <v>0.17</v>
      </c>
      <c r="AFG27" s="1">
        <v>0.11989898989898991</v>
      </c>
      <c r="AFH27" s="1">
        <v>0.1651</v>
      </c>
      <c r="AFI27" s="1">
        <v>0.38175323599898991</v>
      </c>
      <c r="AFJ27" s="1">
        <v>0.65</v>
      </c>
      <c r="AFK27" s="1">
        <v>16.509999999999998</v>
      </c>
      <c r="AFL27" s="1">
        <v>16.509999999999998</v>
      </c>
      <c r="AFM27" s="1">
        <v>0</v>
      </c>
      <c r="AFO27" s="1">
        <v>16.509999999999998</v>
      </c>
      <c r="AFP27" s="1">
        <v>0</v>
      </c>
      <c r="AFQ27" s="1">
        <v>16.5</v>
      </c>
      <c r="AFX27" s="1">
        <v>17.2</v>
      </c>
    </row>
    <row r="28" spans="1:856" s="1" customFormat="1" ht="63.75" customHeight="1">
      <c r="A28" s="88">
        <v>20</v>
      </c>
      <c r="B28" s="20"/>
      <c r="C28" s="89" t="s">
        <v>494</v>
      </c>
      <c r="D28" s="20"/>
      <c r="E28" s="20" t="s">
        <v>437</v>
      </c>
      <c r="F28" s="20" t="s">
        <v>438</v>
      </c>
      <c r="G28" s="20">
        <v>0.8</v>
      </c>
      <c r="H28" s="20">
        <v>540</v>
      </c>
      <c r="I28" s="20">
        <f>540+24.6-1.6</f>
        <v>563</v>
      </c>
      <c r="J28" s="20">
        <f t="shared" si="0"/>
        <v>450.40000000000003</v>
      </c>
      <c r="K28" s="20">
        <v>12</v>
      </c>
      <c r="L28" s="20"/>
      <c r="M28" s="20"/>
      <c r="N28" s="20"/>
      <c r="O28" s="90">
        <f t="shared" si="1"/>
        <v>0</v>
      </c>
      <c r="P28" s="20"/>
      <c r="Q28" s="20"/>
      <c r="R28" s="90">
        <f t="shared" si="2"/>
        <v>0</v>
      </c>
      <c r="S28" s="20">
        <v>67.400000000000006</v>
      </c>
      <c r="T28" s="20">
        <v>2.6</v>
      </c>
      <c r="U28" s="20">
        <v>3.13</v>
      </c>
      <c r="V28" s="91">
        <f t="shared" si="3"/>
        <v>548.5</v>
      </c>
      <c r="W28" s="20">
        <v>2.1000000000000001E-2</v>
      </c>
      <c r="X28" s="20">
        <f t="shared" si="4"/>
        <v>33.42</v>
      </c>
      <c r="Y28" s="91">
        <f t="shared" si="5"/>
        <v>47.3</v>
      </c>
      <c r="Z28" s="20"/>
      <c r="AA28" s="20"/>
      <c r="AB28" s="20"/>
      <c r="AC28" s="91">
        <f t="shared" si="6"/>
        <v>595.79999999999995</v>
      </c>
      <c r="AD28" s="90">
        <f t="shared" si="7"/>
        <v>1.06</v>
      </c>
      <c r="AE28" s="92">
        <f t="shared" si="8"/>
        <v>7149.5999999999995</v>
      </c>
      <c r="AF28" s="20">
        <v>33</v>
      </c>
      <c r="AG28" s="20">
        <v>31</v>
      </c>
      <c r="AH28" s="20">
        <v>31</v>
      </c>
      <c r="AI28" s="20">
        <f>21+1</f>
        <v>22</v>
      </c>
      <c r="AJ28" s="20">
        <v>1.6</v>
      </c>
      <c r="AK28" s="90">
        <f t="shared" si="9"/>
        <v>4.13</v>
      </c>
      <c r="AL28" s="90">
        <v>391.01</v>
      </c>
      <c r="AM28" s="90">
        <f t="shared" si="10"/>
        <v>1614.87</v>
      </c>
      <c r="AN28" s="20">
        <v>29</v>
      </c>
      <c r="AO28" s="20">
        <v>27</v>
      </c>
      <c r="AP28" s="20">
        <v>33</v>
      </c>
      <c r="AQ28" s="20">
        <v>29</v>
      </c>
      <c r="AR28" s="20">
        <v>27</v>
      </c>
      <c r="AS28" s="20">
        <f>1+26</f>
        <v>27</v>
      </c>
      <c r="AT28" s="20">
        <f t="shared" si="11"/>
        <v>2</v>
      </c>
      <c r="AU28" s="20">
        <v>1.6</v>
      </c>
      <c r="AV28" s="90">
        <f t="shared" si="12"/>
        <v>4.4000000000000004</v>
      </c>
      <c r="AW28" s="90">
        <f t="shared" si="523"/>
        <v>188.88</v>
      </c>
      <c r="AX28" s="90">
        <v>679.97</v>
      </c>
      <c r="AY28" s="90">
        <f t="shared" si="14"/>
        <v>1.21</v>
      </c>
      <c r="AZ28" s="90">
        <f t="shared" si="15"/>
        <v>1720.44</v>
      </c>
      <c r="BA28" s="90">
        <f t="shared" si="16"/>
        <v>-1040.47</v>
      </c>
      <c r="BB28" s="90">
        <v>679.97</v>
      </c>
      <c r="BC28" s="90">
        <v>1.21</v>
      </c>
      <c r="BD28" s="92">
        <f t="shared" si="17"/>
        <v>8159.64</v>
      </c>
      <c r="BE28" s="90"/>
      <c r="BF28" s="90">
        <f t="shared" si="18"/>
        <v>0</v>
      </c>
      <c r="BG28" s="90">
        <v>391.01</v>
      </c>
      <c r="BH28" s="90">
        <f t="shared" si="19"/>
        <v>1720.44</v>
      </c>
      <c r="BI28" s="90">
        <f t="shared" si="20"/>
        <v>3.06</v>
      </c>
      <c r="BJ28" s="90">
        <f t="shared" si="21"/>
        <v>252.89256198347107</v>
      </c>
      <c r="BK28" s="90">
        <f t="shared" si="22"/>
        <v>1720.44</v>
      </c>
      <c r="BL28" s="90">
        <f t="shared" si="23"/>
        <v>3.06</v>
      </c>
      <c r="BM28" s="90"/>
      <c r="BN28" s="90">
        <f t="shared" si="24"/>
        <v>0</v>
      </c>
      <c r="BO28" s="90">
        <f t="shared" si="25"/>
        <v>1720.44</v>
      </c>
      <c r="BP28" s="90">
        <f t="shared" si="26"/>
        <v>3.0558436944937832</v>
      </c>
      <c r="BQ28" s="90"/>
      <c r="BR28" s="90">
        <f t="shared" si="27"/>
        <v>0</v>
      </c>
      <c r="BS28" s="90">
        <f t="shared" si="28"/>
        <v>1720.44</v>
      </c>
      <c r="BT28" s="90">
        <f t="shared" si="29"/>
        <v>3.0558436944937832</v>
      </c>
      <c r="BU28" s="90"/>
      <c r="BV28" s="93">
        <v>1.4356370000000001</v>
      </c>
      <c r="BW28" s="90">
        <f t="shared" si="30"/>
        <v>808.26363100000003</v>
      </c>
      <c r="BX28" s="90">
        <f t="shared" si="31"/>
        <v>856.75944886000002</v>
      </c>
      <c r="BY28" s="90"/>
      <c r="BZ28" s="90"/>
      <c r="CA28" s="90">
        <v>0.2651</v>
      </c>
      <c r="CB28" s="90">
        <f t="shared" si="518"/>
        <v>149.25130000000001</v>
      </c>
      <c r="CC28" s="90">
        <v>0.71072749999999996</v>
      </c>
      <c r="CD28" s="90">
        <f t="shared" si="33"/>
        <v>106.07700332075001</v>
      </c>
      <c r="CE28" s="90">
        <f t="shared" si="34"/>
        <v>160.39910764336034</v>
      </c>
      <c r="CF28" s="90">
        <v>156.58804097925423</v>
      </c>
      <c r="CG28" s="90">
        <v>156.58804097925423</v>
      </c>
      <c r="CH28" s="90">
        <f t="shared" si="35"/>
        <v>164.1</v>
      </c>
      <c r="CI28" s="90">
        <f t="shared" si="524"/>
        <v>172.22192389199935</v>
      </c>
      <c r="CJ28" s="90">
        <f t="shared" si="36"/>
        <v>173.13</v>
      </c>
      <c r="CK28" s="90">
        <f t="shared" si="37"/>
        <v>183.09909803254669</v>
      </c>
      <c r="CL28" s="90">
        <f t="shared" si="38"/>
        <v>183.09909803254669</v>
      </c>
      <c r="CM28" s="94">
        <v>0.14899999999999999</v>
      </c>
      <c r="CN28" s="90">
        <f t="shared" si="39"/>
        <v>120.431281019</v>
      </c>
      <c r="CO28" s="90">
        <f t="shared" si="40"/>
        <v>127.65715788014001</v>
      </c>
      <c r="CP28" s="90"/>
      <c r="CQ28" s="90">
        <v>3.9539471999999999E-2</v>
      </c>
      <c r="CR28" s="90">
        <f t="shared" si="519"/>
        <v>22.260722735999998</v>
      </c>
      <c r="CS28" s="90">
        <v>0.71072749999999996</v>
      </c>
      <c r="CT28" s="90">
        <f t="shared" si="42"/>
        <v>15.821307818350437</v>
      </c>
      <c r="CU28" s="90">
        <f t="shared" si="43"/>
        <v>23.92341013010045</v>
      </c>
      <c r="CV28" s="90">
        <v>48.386478478153471</v>
      </c>
      <c r="CW28" s="90">
        <f t="shared" si="44"/>
        <v>50.71</v>
      </c>
      <c r="CX28" s="90">
        <f t="shared" si="525"/>
        <v>53.219827913243677</v>
      </c>
      <c r="CY28" s="90">
        <f t="shared" si="45"/>
        <v>53.5</v>
      </c>
      <c r="CZ28" s="90">
        <f t="shared" si="46"/>
        <v>56.581080202501177</v>
      </c>
      <c r="DA28" s="90">
        <f t="shared" si="47"/>
        <v>56.581080202501177</v>
      </c>
      <c r="DB28" s="93">
        <v>1.4169099999999999</v>
      </c>
      <c r="DC28" s="90">
        <f t="shared" si="48"/>
        <v>797.72032999999999</v>
      </c>
      <c r="DD28" s="90">
        <f t="shared" si="49"/>
        <v>845.58354980000001</v>
      </c>
      <c r="DE28" s="90"/>
      <c r="DF28" s="90"/>
      <c r="DG28" s="90">
        <v>0.16263</v>
      </c>
      <c r="DH28" s="90">
        <f t="shared" si="520"/>
        <v>91.560689999999994</v>
      </c>
      <c r="DI28" s="90">
        <v>0.71072749999999996</v>
      </c>
      <c r="DJ28" s="90">
        <f t="shared" si="51"/>
        <v>65.074700301974985</v>
      </c>
      <c r="DK28" s="90">
        <f t="shared" si="52"/>
        <v>98.399497834929008</v>
      </c>
      <c r="DL28" s="90">
        <v>77.842969051534354</v>
      </c>
      <c r="DM28" s="90">
        <f t="shared" si="53"/>
        <v>81.58</v>
      </c>
      <c r="DN28" s="90">
        <f t="shared" si="526"/>
        <v>85.617699884883038</v>
      </c>
      <c r="DO28" s="90">
        <f t="shared" si="54"/>
        <v>86.07</v>
      </c>
      <c r="DP28" s="90">
        <f t="shared" si="55"/>
        <v>91.025133561823026</v>
      </c>
      <c r="DQ28" s="90">
        <f t="shared" si="56"/>
        <v>91.025133561823026</v>
      </c>
      <c r="DR28" s="93">
        <v>5.6880149999999997E-2</v>
      </c>
      <c r="DS28" s="90">
        <f t="shared" si="57"/>
        <v>32.023524449999996</v>
      </c>
      <c r="DT28" s="90">
        <f t="shared" si="58"/>
        <v>33.944935916999995</v>
      </c>
      <c r="DU28" s="90"/>
      <c r="DV28" s="90">
        <v>6.1506E-3</v>
      </c>
      <c r="DW28" s="90">
        <f t="shared" si="521"/>
        <v>3.4627878000000001</v>
      </c>
      <c r="DX28" s="90">
        <v>0.71072749999999996</v>
      </c>
      <c r="DY28" s="90">
        <f t="shared" si="60"/>
        <v>2.4610985161244998</v>
      </c>
      <c r="DZ28" s="90">
        <f t="shared" si="61"/>
        <v>3.7214287116984228</v>
      </c>
      <c r="EA28" s="90">
        <f t="shared" si="62"/>
        <v>3.9</v>
      </c>
      <c r="EB28" s="90">
        <f t="shared" si="527"/>
        <v>4.0930256135210081</v>
      </c>
      <c r="EC28" s="90">
        <f t="shared" si="63"/>
        <v>4.1100000000000003</v>
      </c>
      <c r="ED28" s="90">
        <f t="shared" si="64"/>
        <v>4.3515324943749674</v>
      </c>
      <c r="EE28" s="90">
        <f t="shared" si="65"/>
        <v>4.3515324943749674</v>
      </c>
      <c r="EF28" s="94">
        <v>0.85293354333000004</v>
      </c>
      <c r="EG28" s="90">
        <f t="shared" si="66"/>
        <v>384.16126791583207</v>
      </c>
      <c r="EH28" s="90">
        <f t="shared" si="67"/>
        <v>407.21094399078203</v>
      </c>
      <c r="EI28" s="90"/>
      <c r="EJ28" s="90">
        <v>0.58975</v>
      </c>
      <c r="EK28" s="90">
        <f t="shared" si="68"/>
        <v>265.6234</v>
      </c>
      <c r="EL28" s="90">
        <v>0.71072749999999996</v>
      </c>
      <c r="EM28" s="90">
        <f t="shared" si="69"/>
        <v>188.78585502350001</v>
      </c>
      <c r="EN28" s="90">
        <f t="shared" si="70"/>
        <v>285.46321760142359</v>
      </c>
      <c r="EO28" s="90">
        <v>278.39644666870191</v>
      </c>
      <c r="EP28" s="90">
        <f t="shared" si="71"/>
        <v>291.76</v>
      </c>
      <c r="EQ28" s="90">
        <f t="shared" si="528"/>
        <v>306.20029564125372</v>
      </c>
      <c r="ER28" s="90">
        <f t="shared" si="72"/>
        <v>307.81</v>
      </c>
      <c r="ES28" s="90">
        <f t="shared" si="73"/>
        <v>325.539261681754</v>
      </c>
      <c r="ET28" s="90">
        <f t="shared" si="74"/>
        <v>325.539261681754</v>
      </c>
      <c r="EU28" s="94">
        <v>0.14899999999999999</v>
      </c>
      <c r="EV28" s="90">
        <f t="shared" si="75"/>
        <v>57.240028919458979</v>
      </c>
      <c r="EW28" s="90">
        <f t="shared" si="76"/>
        <v>60.674430654626519</v>
      </c>
      <c r="EX28" s="90"/>
      <c r="EY28" s="90">
        <v>8.7870000000000004E-2</v>
      </c>
      <c r="EZ28" s="90">
        <f t="shared" si="77"/>
        <v>39.576648000000006</v>
      </c>
      <c r="FA28" s="90">
        <v>0.71072749999999996</v>
      </c>
      <c r="FB28" s="90">
        <f t="shared" si="78"/>
        <v>28.128212091420004</v>
      </c>
      <c r="FC28" s="90">
        <f t="shared" si="79"/>
        <v>42.532688309685625</v>
      </c>
      <c r="FD28" s="90">
        <v>86.084704331580994</v>
      </c>
      <c r="FE28" s="90">
        <f t="shared" si="80"/>
        <v>90.22</v>
      </c>
      <c r="FF28" s="90">
        <f t="shared" si="529"/>
        <v>94.685325859452661</v>
      </c>
      <c r="FG28" s="90">
        <f t="shared" si="81"/>
        <v>95.18</v>
      </c>
      <c r="FH28" s="90">
        <f t="shared" si="82"/>
        <v>100.66545170320757</v>
      </c>
      <c r="FI28" s="90">
        <f t="shared" si="83"/>
        <v>100.66545170320757</v>
      </c>
      <c r="FJ28" s="93">
        <v>0.49981642240000002</v>
      </c>
      <c r="FK28" s="90">
        <f t="shared" si="84"/>
        <v>225.11731664896001</v>
      </c>
      <c r="FL28" s="90">
        <f t="shared" si="85"/>
        <v>238.62435564789763</v>
      </c>
      <c r="FM28" s="90"/>
      <c r="FN28" s="90">
        <v>0.35812500000000003</v>
      </c>
      <c r="FO28" s="90">
        <f t="shared" si="86"/>
        <v>161.29950000000002</v>
      </c>
      <c r="FP28" s="90">
        <v>0.71072749999999996</v>
      </c>
      <c r="FQ28" s="90">
        <f t="shared" si="87"/>
        <v>114.63999038625001</v>
      </c>
      <c r="FR28" s="90">
        <f t="shared" si="88"/>
        <v>173.34720611023286</v>
      </c>
      <c r="FS28" s="90">
        <v>136.65045554739223</v>
      </c>
      <c r="FT28" s="90">
        <f t="shared" si="89"/>
        <v>143.21</v>
      </c>
      <c r="FU28" s="90">
        <v>136.76648812050703</v>
      </c>
      <c r="FV28" s="90">
        <f t="shared" si="90"/>
        <v>143.33000000000001</v>
      </c>
      <c r="FW28" s="90">
        <f t="shared" si="530"/>
        <v>150.42393876563236</v>
      </c>
      <c r="FX28" s="90">
        <f t="shared" si="91"/>
        <v>151.21</v>
      </c>
      <c r="FY28" s="90">
        <f t="shared" si="92"/>
        <v>159.92439805609337</v>
      </c>
      <c r="FZ28" s="90">
        <f t="shared" si="93"/>
        <v>159.92439805609337</v>
      </c>
      <c r="GA28" s="94">
        <v>1.352261642E-2</v>
      </c>
      <c r="GB28" s="90">
        <f t="shared" si="94"/>
        <v>6.0905864355680004</v>
      </c>
      <c r="GC28" s="90">
        <f t="shared" si="95"/>
        <v>6.4560216217020807</v>
      </c>
      <c r="GD28" s="90"/>
      <c r="GE28" s="90">
        <v>1.0749999999999999E-2</v>
      </c>
      <c r="GF28" s="90">
        <f t="shared" si="96"/>
        <v>4.8418000000000001</v>
      </c>
      <c r="GG28" s="90">
        <v>0.71072749999999996</v>
      </c>
      <c r="GH28" s="90">
        <f t="shared" si="97"/>
        <v>3.4412004094999999</v>
      </c>
      <c r="GI28" s="90">
        <f t="shared" si="98"/>
        <v>5.2034414399581239</v>
      </c>
      <c r="GJ28" s="90">
        <f t="shared" si="99"/>
        <v>5.45</v>
      </c>
      <c r="GK28" s="90">
        <f t="shared" si="531"/>
        <v>5.7197409214588459</v>
      </c>
      <c r="GL28" s="90">
        <f t="shared" si="100"/>
        <v>5.75</v>
      </c>
      <c r="GM28" s="90">
        <f t="shared" si="101"/>
        <v>6.0809877164983526</v>
      </c>
      <c r="GN28" s="90">
        <f t="shared" si="102"/>
        <v>6.0809877164983526</v>
      </c>
      <c r="GO28" s="90">
        <v>2419.1999999999998</v>
      </c>
      <c r="GP28" s="90">
        <f t="shared" si="103"/>
        <v>201.6</v>
      </c>
      <c r="GQ28" s="90">
        <f>1587.6+138.6</f>
        <v>1726.1999999999998</v>
      </c>
      <c r="GR28" s="90">
        <f t="shared" si="104"/>
        <v>143.85</v>
      </c>
      <c r="GS28" s="90">
        <f t="shared" si="105"/>
        <v>345.45</v>
      </c>
      <c r="GT28" s="90">
        <f t="shared" si="106"/>
        <v>0.61</v>
      </c>
      <c r="GU28" s="90">
        <v>2302.8000000000002</v>
      </c>
      <c r="GV28" s="90">
        <f>1254+110.2</f>
        <v>1364.2</v>
      </c>
      <c r="GW28" s="90">
        <f t="shared" si="107"/>
        <v>305.58333333333331</v>
      </c>
      <c r="GX28" s="90">
        <f t="shared" si="108"/>
        <v>0.54</v>
      </c>
      <c r="GY28" s="90">
        <v>4115.3999999999996</v>
      </c>
      <c r="GZ28" s="90">
        <f>1333.8+117.8</f>
        <v>1451.6</v>
      </c>
      <c r="HA28" s="90">
        <f t="shared" si="109"/>
        <v>463.91666666666669</v>
      </c>
      <c r="HB28" s="90">
        <f t="shared" si="110"/>
        <v>0.82</v>
      </c>
      <c r="HC28" s="90">
        <v>4115.3999999999996</v>
      </c>
      <c r="HD28" s="90">
        <f>1333.8+117.8</f>
        <v>1451.6</v>
      </c>
      <c r="HE28" s="90">
        <f t="shared" si="111"/>
        <v>463.91666666666669</v>
      </c>
      <c r="HF28" s="90">
        <f t="shared" si="112"/>
        <v>0.82</v>
      </c>
      <c r="HG28" s="90"/>
      <c r="HH28" s="90"/>
      <c r="HI28" s="90">
        <v>0.96</v>
      </c>
      <c r="HJ28" s="90">
        <f t="shared" si="113"/>
        <v>540.48</v>
      </c>
      <c r="HK28" s="90">
        <f t="shared" si="114"/>
        <v>1.0060746003552397</v>
      </c>
      <c r="HL28" s="90">
        <f t="shared" si="115"/>
        <v>566.41999999999996</v>
      </c>
      <c r="HM28" s="90">
        <v>1.07</v>
      </c>
      <c r="HN28" s="90">
        <f t="shared" si="116"/>
        <v>602.41000000000008</v>
      </c>
      <c r="HO28" s="90">
        <v>1.1499999999999999</v>
      </c>
      <c r="HP28" s="90">
        <f t="shared" si="117"/>
        <v>647.45000000000005</v>
      </c>
      <c r="HQ28" s="90">
        <v>1.1499999999999999</v>
      </c>
      <c r="HR28" s="90">
        <f t="shared" si="118"/>
        <v>647.45000000000005</v>
      </c>
      <c r="HS28" s="90">
        <v>0.31919999999999998</v>
      </c>
      <c r="HT28" s="90">
        <f t="shared" si="119"/>
        <v>179.70959999999999</v>
      </c>
      <c r="HU28" s="90" t="e">
        <f>HT28*#REF!</f>
        <v>#REF!</v>
      </c>
      <c r="HV28" s="90">
        <v>2.83</v>
      </c>
      <c r="HW28" s="90">
        <v>3.1</v>
      </c>
      <c r="HX28" s="90">
        <f t="shared" si="120"/>
        <v>1745.3</v>
      </c>
      <c r="HY28" s="90">
        <v>1.06</v>
      </c>
      <c r="HZ28" s="90">
        <f t="shared" si="121"/>
        <v>1850.018</v>
      </c>
      <c r="IA28" s="90">
        <f t="shared" si="122"/>
        <v>3.29</v>
      </c>
      <c r="IB28" s="90">
        <f t="shared" si="123"/>
        <v>3.45</v>
      </c>
      <c r="IC28" s="90">
        <f t="shared" si="124"/>
        <v>1942.3500000000001</v>
      </c>
      <c r="ID28" s="90">
        <f t="shared" si="125"/>
        <v>3.64</v>
      </c>
      <c r="IE28" s="90">
        <f t="shared" si="126"/>
        <v>2049.3200000000002</v>
      </c>
      <c r="IF28" s="90">
        <f t="shared" si="127"/>
        <v>3.64</v>
      </c>
      <c r="IG28" s="92">
        <f t="shared" si="128"/>
        <v>24591.840000000004</v>
      </c>
      <c r="IH28" s="90">
        <v>3.91</v>
      </c>
      <c r="II28" s="90">
        <f t="shared" si="129"/>
        <v>4.1100000000000003</v>
      </c>
      <c r="IJ28" s="90">
        <f t="shared" si="130"/>
        <v>2313.9299999999998</v>
      </c>
      <c r="IK28" s="90">
        <f t="shared" si="131"/>
        <v>4.1100000000000003</v>
      </c>
      <c r="IL28" s="90">
        <f t="shared" si="132"/>
        <v>2313.9299999999998</v>
      </c>
      <c r="IM28" s="90">
        <f t="shared" si="133"/>
        <v>4.1100000000000003</v>
      </c>
      <c r="IN28" s="90">
        <f t="shared" si="134"/>
        <v>2313.9299999999998</v>
      </c>
      <c r="IO28" s="90">
        <f t="shared" si="135"/>
        <v>4.1100000000000003</v>
      </c>
      <c r="IP28" s="93">
        <v>0.37052404126999999</v>
      </c>
      <c r="IQ28" s="90">
        <f t="shared" si="136"/>
        <v>166.88402818800802</v>
      </c>
      <c r="IR28" s="90">
        <f t="shared" si="137"/>
        <v>176.89706987928849</v>
      </c>
      <c r="IS28" s="90">
        <v>108693.96</v>
      </c>
      <c r="IT28" s="90">
        <v>3053.33</v>
      </c>
      <c r="IU28" s="93">
        <v>2.81E-2</v>
      </c>
      <c r="IV28" s="93"/>
      <c r="IW28" s="94">
        <v>1.6976249999999999</v>
      </c>
      <c r="IX28" s="90">
        <f t="shared" si="138"/>
        <v>764.61030000000005</v>
      </c>
      <c r="IY28" s="93">
        <v>0.56339614052999998</v>
      </c>
      <c r="IZ28" s="90">
        <f t="shared" si="139"/>
        <v>317.19202711839</v>
      </c>
      <c r="JA28" s="90">
        <f t="shared" si="140"/>
        <v>332.42</v>
      </c>
      <c r="JB28" s="90">
        <f t="shared" si="532"/>
        <v>348.87271139657787</v>
      </c>
      <c r="JC28" s="90">
        <f t="shared" si="141"/>
        <v>350.7</v>
      </c>
      <c r="JD28" s="90">
        <f t="shared" si="142"/>
        <v>370.90677737951967</v>
      </c>
      <c r="JE28" s="90">
        <f t="shared" si="143"/>
        <v>370.90677737951967</v>
      </c>
      <c r="JF28" s="93">
        <v>4.2278943710000003E-2</v>
      </c>
      <c r="JG28" s="90">
        <f t="shared" si="144"/>
        <v>19.042436246984003</v>
      </c>
      <c r="JH28" s="90">
        <f t="shared" si="145"/>
        <v>20.184982421803046</v>
      </c>
      <c r="JI28" s="20">
        <v>462.98</v>
      </c>
      <c r="JJ28" s="20"/>
      <c r="JK28" s="20">
        <v>6.0624999999999998E-2</v>
      </c>
      <c r="JL28" s="90">
        <f t="shared" si="146"/>
        <v>27.305500000000002</v>
      </c>
      <c r="JM28" s="93">
        <v>6.7347080040000007E-2</v>
      </c>
      <c r="JN28" s="90">
        <f t="shared" si="147"/>
        <v>37.916406062520004</v>
      </c>
      <c r="JO28" s="90">
        <f t="shared" si="148"/>
        <v>39.74</v>
      </c>
      <c r="JP28" s="90">
        <f t="shared" si="533"/>
        <v>41.706881508032026</v>
      </c>
      <c r="JQ28" s="90">
        <f t="shared" si="149"/>
        <v>41.93</v>
      </c>
      <c r="JR28" s="90">
        <f t="shared" si="150"/>
        <v>44.341000340118264</v>
      </c>
      <c r="JS28" s="90">
        <f t="shared" si="151"/>
        <v>44.341000340118264</v>
      </c>
      <c r="JT28" s="93">
        <v>7.3220517000000002E-3</v>
      </c>
      <c r="JU28" s="90">
        <f t="shared" si="152"/>
        <v>3.2978520856800002</v>
      </c>
      <c r="JV28" s="90">
        <f t="shared" si="153"/>
        <v>3.46</v>
      </c>
      <c r="JW28" s="90">
        <f t="shared" si="534"/>
        <v>3.6312483648160745</v>
      </c>
      <c r="JX28" s="90">
        <f t="shared" si="154"/>
        <v>3.65</v>
      </c>
      <c r="JY28" s="90">
        <f t="shared" si="155"/>
        <v>3.8605903668044586</v>
      </c>
      <c r="JZ28" s="90">
        <f t="shared" si="156"/>
        <v>3.8605903668044586</v>
      </c>
      <c r="KA28" s="90">
        <v>8.3090999999999998E-3</v>
      </c>
      <c r="KB28" s="90">
        <f t="shared" si="157"/>
        <v>3.7424186400000004</v>
      </c>
      <c r="KC28" s="90" t="e">
        <f>KB28*#REF!</f>
        <v>#REF!</v>
      </c>
      <c r="KD28" s="90">
        <v>34406.519999999997</v>
      </c>
      <c r="KE28" s="90">
        <v>40292.97</v>
      </c>
      <c r="KF28" s="93">
        <v>1.17109</v>
      </c>
      <c r="KG28" s="90">
        <f>I28*KF28</f>
        <v>659.32366999999999</v>
      </c>
      <c r="KH28" s="90" t="e">
        <f>KG28/(BW28+#REF!)*(CB28+#REF!)</f>
        <v>#REF!</v>
      </c>
      <c r="KI28" s="90">
        <v>0.8</v>
      </c>
      <c r="KJ28" s="94"/>
      <c r="KK28" s="90">
        <f t="shared" si="159"/>
        <v>0</v>
      </c>
      <c r="KL28" s="93">
        <v>1.2690177</v>
      </c>
      <c r="KM28" s="90">
        <f t="shared" si="160"/>
        <v>714.45696510000005</v>
      </c>
      <c r="KN28" s="90">
        <f t="shared" si="161"/>
        <v>757.32438300600006</v>
      </c>
      <c r="KO28" s="90" t="e">
        <f>BW28+CN28+DC28+DS28+EG28+EV28+FK28+GB28+#REF!+#REF!+HJ28+HX28+IQ28+JG28+JU28+KK28+KM28</f>
        <v>#REF!</v>
      </c>
      <c r="KP28" s="90"/>
      <c r="KQ28" s="90">
        <v>0.50815001599999998</v>
      </c>
      <c r="KR28" s="90">
        <f t="shared" si="514"/>
        <v>286.08845900799997</v>
      </c>
      <c r="KS28" s="90">
        <v>0.71072749999999996</v>
      </c>
      <c r="KT28" s="90">
        <f t="shared" si="163"/>
        <v>203.3309352496083</v>
      </c>
      <c r="KU28" s="90">
        <f t="shared" si="164"/>
        <v>307.45684313602135</v>
      </c>
      <c r="KV28" s="90">
        <f t="shared" si="165"/>
        <v>322.20999999999998</v>
      </c>
      <c r="KW28" s="90">
        <f t="shared" si="535"/>
        <v>338.15738023912922</v>
      </c>
      <c r="KX28" s="90">
        <f t="shared" si="166"/>
        <v>339.93</v>
      </c>
      <c r="KY28" s="90">
        <f t="shared" si="167"/>
        <v>359.51468846475848</v>
      </c>
      <c r="KZ28" s="90">
        <f t="shared" si="168"/>
        <v>359.51468846475848</v>
      </c>
      <c r="LA28" s="90">
        <f t="shared" si="169"/>
        <v>2206.96</v>
      </c>
      <c r="LB28" s="90">
        <f t="shared" si="170"/>
        <v>3.92</v>
      </c>
      <c r="LC28" s="92">
        <f t="shared" si="171"/>
        <v>26483.52</v>
      </c>
      <c r="LD28" s="92">
        <v>4.21</v>
      </c>
      <c r="LE28" s="92">
        <v>2370.2299999999996</v>
      </c>
      <c r="LF28" s="90">
        <f t="shared" si="172"/>
        <v>4.18</v>
      </c>
      <c r="LG28" s="90">
        <f t="shared" si="173"/>
        <v>2353.34</v>
      </c>
      <c r="LH28" s="90">
        <f t="shared" si="174"/>
        <v>2372.482</v>
      </c>
      <c r="LI28" s="90">
        <f t="shared" si="175"/>
        <v>4.21</v>
      </c>
      <c r="LJ28" s="90">
        <f t="shared" si="176"/>
        <v>2353.3399999999997</v>
      </c>
      <c r="LK28" s="90">
        <f t="shared" si="177"/>
        <v>4.18</v>
      </c>
      <c r="LL28" s="90">
        <f t="shared" si="178"/>
        <v>2353.3399999999997</v>
      </c>
      <c r="LM28" s="90">
        <f t="shared" si="179"/>
        <v>4.18</v>
      </c>
      <c r="LN28" s="95">
        <v>0.46</v>
      </c>
      <c r="LO28" s="95">
        <f t="shared" si="180"/>
        <v>258.98</v>
      </c>
      <c r="LP28" s="95"/>
      <c r="LQ28" s="95">
        <f t="shared" si="181"/>
        <v>0</v>
      </c>
      <c r="LR28" s="90"/>
      <c r="LS28" s="90"/>
      <c r="LT28" s="90">
        <f t="shared" si="182"/>
        <v>0</v>
      </c>
      <c r="LU28" s="90"/>
      <c r="LV28" s="90">
        <f t="shared" si="183"/>
        <v>0</v>
      </c>
      <c r="LW28" s="90">
        <f t="shared" si="184"/>
        <v>0</v>
      </c>
      <c r="LX28" s="90"/>
      <c r="LY28" s="90"/>
      <c r="LZ28" s="90">
        <f t="shared" si="185"/>
        <v>0</v>
      </c>
      <c r="MA28" s="90"/>
      <c r="MB28" s="90">
        <f t="shared" si="186"/>
        <v>0</v>
      </c>
      <c r="MC28" s="90">
        <f t="shared" si="187"/>
        <v>0</v>
      </c>
      <c r="MD28" s="90"/>
      <c r="ME28" s="90"/>
      <c r="MF28" s="90">
        <f t="shared" si="188"/>
        <v>0</v>
      </c>
      <c r="MG28" s="90"/>
      <c r="MH28" s="90">
        <f t="shared" si="189"/>
        <v>0</v>
      </c>
      <c r="MI28" s="90">
        <f t="shared" si="190"/>
        <v>0</v>
      </c>
      <c r="MJ28" s="90"/>
      <c r="MK28" s="90"/>
      <c r="ML28" s="90">
        <f t="shared" si="191"/>
        <v>0</v>
      </c>
      <c r="MM28" s="90"/>
      <c r="MN28" s="90">
        <f t="shared" si="192"/>
        <v>0</v>
      </c>
      <c r="MO28" s="90">
        <f t="shared" si="193"/>
        <v>0</v>
      </c>
      <c r="MP28" s="90">
        <f t="shared" si="194"/>
        <v>0</v>
      </c>
      <c r="MQ28" s="90">
        <f t="shared" si="195"/>
        <v>0</v>
      </c>
      <c r="MR28" s="90">
        <f t="shared" si="196"/>
        <v>0</v>
      </c>
      <c r="MS28" s="90">
        <f t="shared" si="197"/>
        <v>0</v>
      </c>
      <c r="MT28" s="95"/>
      <c r="MU28" s="95">
        <f t="shared" si="198"/>
        <v>0</v>
      </c>
      <c r="MV28" s="92">
        <f t="shared" si="199"/>
        <v>0</v>
      </c>
      <c r="MW28" s="95"/>
      <c r="MX28" s="95">
        <f t="shared" si="200"/>
        <v>0</v>
      </c>
      <c r="MY28" s="95"/>
      <c r="MZ28" s="95">
        <f t="shared" si="201"/>
        <v>0</v>
      </c>
      <c r="NA28" s="95"/>
      <c r="NB28" s="95">
        <f t="shared" si="202"/>
        <v>0</v>
      </c>
      <c r="NC28" s="92">
        <f t="shared" si="203"/>
        <v>0</v>
      </c>
      <c r="ND28" s="95"/>
      <c r="NE28" s="95">
        <f t="shared" si="204"/>
        <v>0</v>
      </c>
      <c r="NF28" s="95"/>
      <c r="NG28" s="95">
        <f t="shared" si="205"/>
        <v>0</v>
      </c>
      <c r="NH28" s="95"/>
      <c r="NI28" s="95"/>
      <c r="NJ28" s="95">
        <f t="shared" si="206"/>
        <v>0</v>
      </c>
      <c r="NK28" s="92">
        <f t="shared" si="207"/>
        <v>0</v>
      </c>
      <c r="NL28" s="95"/>
      <c r="NM28" s="95">
        <f t="shared" si="208"/>
        <v>0</v>
      </c>
      <c r="NN28" s="95"/>
      <c r="NO28" s="95">
        <f t="shared" si="209"/>
        <v>0</v>
      </c>
      <c r="NP28" s="95"/>
      <c r="NQ28" s="95">
        <f t="shared" si="210"/>
        <v>0</v>
      </c>
      <c r="NR28" s="92">
        <f t="shared" si="211"/>
        <v>0</v>
      </c>
      <c r="NS28" s="95"/>
      <c r="NT28" s="95">
        <f t="shared" si="212"/>
        <v>0</v>
      </c>
      <c r="NU28" s="95"/>
      <c r="NV28" s="95">
        <f t="shared" si="213"/>
        <v>0</v>
      </c>
      <c r="NW28" s="95"/>
      <c r="NX28" s="95">
        <f t="shared" si="214"/>
        <v>0</v>
      </c>
      <c r="NY28" s="92">
        <f t="shared" si="215"/>
        <v>0</v>
      </c>
      <c r="NZ28" s="95"/>
      <c r="OA28" s="95">
        <f t="shared" si="216"/>
        <v>0</v>
      </c>
      <c r="OB28" s="95"/>
      <c r="OC28" s="95">
        <f t="shared" si="217"/>
        <v>0</v>
      </c>
      <c r="OD28" s="90">
        <v>1171.04</v>
      </c>
      <c r="OE28" s="90">
        <f t="shared" si="218"/>
        <v>2.08</v>
      </c>
      <c r="OF28" s="92">
        <f t="shared" si="219"/>
        <v>14052.48</v>
      </c>
      <c r="OG28" s="96">
        <v>679.97</v>
      </c>
      <c r="OH28" s="96">
        <v>1.21</v>
      </c>
      <c r="OI28" s="90">
        <v>5140.1899999999996</v>
      </c>
      <c r="OJ28" s="90">
        <f t="shared" si="220"/>
        <v>9.1300000000000008</v>
      </c>
      <c r="OK28" s="90">
        <f t="shared" si="221"/>
        <v>1851.01</v>
      </c>
      <c r="OL28" s="90">
        <f t="shared" si="222"/>
        <v>3.29</v>
      </c>
      <c r="OM28" s="90">
        <f t="shared" si="223"/>
        <v>5.8400000000000007</v>
      </c>
      <c r="ON28" s="90">
        <v>4457.96</v>
      </c>
      <c r="OO28" s="90">
        <f t="shared" si="224"/>
        <v>7.92</v>
      </c>
      <c r="OP28" s="90">
        <v>4460.2199999999993</v>
      </c>
      <c r="OQ28" s="90">
        <v>7.92</v>
      </c>
      <c r="OR28" s="90">
        <f t="shared" si="225"/>
        <v>0</v>
      </c>
      <c r="OS28" s="90">
        <f t="shared" si="226"/>
        <v>7.9200000000000008</v>
      </c>
      <c r="OT28" s="90">
        <v>4457.96</v>
      </c>
      <c r="OU28" s="90">
        <f t="shared" si="227"/>
        <v>7.92</v>
      </c>
      <c r="OV28" s="97">
        <v>3895.96</v>
      </c>
      <c r="OW28" s="90">
        <f t="shared" si="228"/>
        <v>3895.96</v>
      </c>
      <c r="OX28" s="90">
        <f t="shared" si="229"/>
        <v>6.92</v>
      </c>
      <c r="OY28" s="90">
        <f t="shared" ref="OY28" si="541">OU28-1</f>
        <v>6.92</v>
      </c>
      <c r="OZ28" s="90"/>
      <c r="PA28" s="90"/>
      <c r="PB28" s="95">
        <f t="shared" si="230"/>
        <v>0</v>
      </c>
      <c r="PC28" s="92">
        <f t="shared" si="231"/>
        <v>0</v>
      </c>
      <c r="PD28" s="90"/>
      <c r="PE28" s="95">
        <f t="shared" si="232"/>
        <v>0</v>
      </c>
      <c r="PF28" s="90">
        <f t="shared" si="233"/>
        <v>6452.7400000000007</v>
      </c>
      <c r="PG28" s="90">
        <f t="shared" si="234"/>
        <v>11.46</v>
      </c>
      <c r="PH28" s="90">
        <f t="shared" si="235"/>
        <v>11006.566666666666</v>
      </c>
      <c r="PI28" s="90">
        <f t="shared" si="236"/>
        <v>19.55</v>
      </c>
      <c r="PJ28" s="90">
        <f t="shared" si="237"/>
        <v>11006.566666666666</v>
      </c>
      <c r="PK28" s="90">
        <f t="shared" si="238"/>
        <v>19.55</v>
      </c>
      <c r="PL28" s="90"/>
      <c r="PM28" s="90">
        <f t="shared" si="239"/>
        <v>193.58</v>
      </c>
      <c r="PN28" s="90">
        <f t="shared" si="240"/>
        <v>0.34</v>
      </c>
      <c r="PO28" s="92">
        <f t="shared" si="241"/>
        <v>2322.96</v>
      </c>
      <c r="PP28" s="90">
        <f t="shared" si="242"/>
        <v>330.2</v>
      </c>
      <c r="PQ28" s="90">
        <f t="shared" si="243"/>
        <v>0.59</v>
      </c>
      <c r="PR28" s="90">
        <f t="shared" si="244"/>
        <v>330.2</v>
      </c>
      <c r="PS28" s="90">
        <f t="shared" si="245"/>
        <v>0.59</v>
      </c>
      <c r="PT28" s="90">
        <f t="shared" si="246"/>
        <v>6646.3200000000006</v>
      </c>
      <c r="PU28" s="90">
        <f t="shared" si="247"/>
        <v>11.81</v>
      </c>
      <c r="PV28" s="90">
        <f t="shared" si="248"/>
        <v>11336.766666666666</v>
      </c>
      <c r="PW28" s="90">
        <f t="shared" si="249"/>
        <v>20.14</v>
      </c>
      <c r="PX28" s="90">
        <f t="shared" si="250"/>
        <v>11336.766666666666</v>
      </c>
      <c r="PY28" s="90">
        <f t="shared" si="251"/>
        <v>20.14</v>
      </c>
      <c r="PZ28" s="90">
        <f t="shared" si="252"/>
        <v>67.13</v>
      </c>
      <c r="QA28" s="90">
        <f t="shared" si="253"/>
        <v>0.12</v>
      </c>
      <c r="QB28" s="92">
        <f t="shared" si="254"/>
        <v>805.56</v>
      </c>
      <c r="QC28" s="90">
        <f t="shared" si="255"/>
        <v>114.51</v>
      </c>
      <c r="QD28" s="90">
        <f t="shared" si="256"/>
        <v>0.2</v>
      </c>
      <c r="QE28" s="90">
        <f t="shared" si="257"/>
        <v>114.51</v>
      </c>
      <c r="QF28" s="90">
        <f t="shared" si="258"/>
        <v>0.2</v>
      </c>
      <c r="QG28" s="90">
        <f t="shared" si="259"/>
        <v>6713.4500000000007</v>
      </c>
      <c r="QH28" s="90">
        <f t="shared" si="260"/>
        <v>11.92</v>
      </c>
      <c r="QI28" s="92">
        <f t="shared" si="261"/>
        <v>80561.400000000009</v>
      </c>
      <c r="QJ28" s="90">
        <f t="shared" si="262"/>
        <v>350.07738023912924</v>
      </c>
      <c r="QK28" s="98">
        <f t="shared" si="263"/>
        <v>0.25169999999999998</v>
      </c>
      <c r="QL28" s="90">
        <f t="shared" si="264"/>
        <v>141.7071</v>
      </c>
      <c r="QM28" s="90">
        <f t="shared" si="265"/>
        <v>0.1128</v>
      </c>
      <c r="QN28" s="90">
        <f t="shared" si="266"/>
        <v>63.506399999999999</v>
      </c>
      <c r="QO28" s="90">
        <v>0.21869999999999998</v>
      </c>
      <c r="QP28" s="90">
        <v>0.14579999999999999</v>
      </c>
      <c r="QQ28" s="97">
        <f t="shared" si="267"/>
        <v>205.21350000000001</v>
      </c>
      <c r="QR28" s="97">
        <v>205.21349999999998</v>
      </c>
      <c r="QS28" s="97">
        <f t="shared" si="268"/>
        <v>0</v>
      </c>
      <c r="QT28" s="90"/>
      <c r="QU28" s="90">
        <f t="shared" si="269"/>
        <v>0.1128</v>
      </c>
      <c r="QV28" s="90">
        <f t="shared" si="270"/>
        <v>63.506399999999999</v>
      </c>
      <c r="QW28" s="90">
        <f t="shared" si="271"/>
        <v>205.21350000000001</v>
      </c>
      <c r="QX28" s="90">
        <f t="shared" si="272"/>
        <v>0.36450000000000005</v>
      </c>
      <c r="QY28" s="90"/>
      <c r="QZ28" s="90"/>
      <c r="RA28" s="90"/>
      <c r="RB28" s="90">
        <v>2095.3000000000002</v>
      </c>
      <c r="RC28" s="97">
        <f t="shared" si="273"/>
        <v>6713.4500000000007</v>
      </c>
      <c r="RD28" s="97">
        <f t="shared" si="274"/>
        <v>11.92</v>
      </c>
      <c r="RE28" s="90">
        <f t="shared" si="275"/>
        <v>11451.276666666667</v>
      </c>
      <c r="RF28" s="90">
        <f t="shared" si="276"/>
        <v>20.34</v>
      </c>
      <c r="RG28" s="90">
        <f t="shared" si="277"/>
        <v>170.63758389261744</v>
      </c>
      <c r="RH28" s="90">
        <f t="shared" si="278"/>
        <v>11451.276666666667</v>
      </c>
      <c r="RI28" s="90">
        <f t="shared" si="279"/>
        <v>20.34</v>
      </c>
      <c r="RJ28" s="90">
        <v>20.090000000000003</v>
      </c>
      <c r="RK28" s="90">
        <v>0</v>
      </c>
      <c r="RL28" s="90">
        <f t="shared" si="280"/>
        <v>0.24999999999999645</v>
      </c>
      <c r="RM28" s="90">
        <f t="shared" si="281"/>
        <v>107.0526315789474</v>
      </c>
      <c r="RN28" s="90">
        <f t="shared" si="282"/>
        <v>5675.9</v>
      </c>
      <c r="RO28" s="90"/>
      <c r="RP28" s="90"/>
      <c r="RQ28" s="99">
        <v>623</v>
      </c>
      <c r="RR28" s="90">
        <f t="shared" si="283"/>
        <v>5542.4100000000008</v>
      </c>
      <c r="RS28" s="90">
        <f t="shared" si="284"/>
        <v>9.8444227353463596</v>
      </c>
      <c r="RT28" s="90">
        <v>11.28</v>
      </c>
      <c r="RU28" s="90">
        <f t="shared" si="285"/>
        <v>6350.6399999999994</v>
      </c>
      <c r="RV28" s="90">
        <f t="shared" si="286"/>
        <v>0.62180706969649957</v>
      </c>
      <c r="RW28" s="90">
        <v>10.43</v>
      </c>
      <c r="RX28" s="90">
        <f t="shared" si="287"/>
        <v>10.951499999999999</v>
      </c>
      <c r="RY28" s="90">
        <f t="shared" si="288"/>
        <v>6165.6944999999996</v>
      </c>
      <c r="RZ28" s="90">
        <f t="shared" si="289"/>
        <v>1626.6465883840683</v>
      </c>
      <c r="SA28" s="90">
        <f t="shared" si="290"/>
        <v>727.76030311747832</v>
      </c>
      <c r="SB28" s="90">
        <f t="shared" si="291"/>
        <v>1100.4468409174099</v>
      </c>
      <c r="SC28" s="90">
        <f t="shared" si="292"/>
        <v>1999.3331261839999</v>
      </c>
      <c r="SD28" s="90">
        <f t="shared" si="293"/>
        <v>1999.3331261840001</v>
      </c>
      <c r="SE28" s="90">
        <f t="shared" si="294"/>
        <v>2029.4560395335225</v>
      </c>
      <c r="SF28" s="90">
        <f t="shared" si="295"/>
        <v>1999.2170936108851</v>
      </c>
      <c r="SG28" s="90">
        <f t="shared" si="296"/>
        <v>0.11603257311480775</v>
      </c>
      <c r="SH28" s="90">
        <f t="shared" si="297"/>
        <v>1999.3331261839999</v>
      </c>
      <c r="SI28" s="90">
        <f t="shared" si="298"/>
        <v>3.551213368</v>
      </c>
      <c r="SJ28" s="90">
        <f t="shared" si="299"/>
        <v>3.5510072710672915</v>
      </c>
      <c r="SK28" s="90"/>
      <c r="SL28" s="90"/>
      <c r="SM28" s="90"/>
      <c r="SN28" s="90">
        <f t="shared" si="300"/>
        <v>2140.5</v>
      </c>
      <c r="SO28" s="90" t="e">
        <f>RU28-#REF!-#REF!-HZ28-LT28-LZ28-MF28-ML28-QL28-QN28-SD28</f>
        <v>#REF!</v>
      </c>
      <c r="SP28" s="90">
        <f t="shared" si="301"/>
        <v>2095.3000000000002</v>
      </c>
      <c r="SQ28" s="90">
        <f t="shared" si="302"/>
        <v>2206.96</v>
      </c>
      <c r="SR28" s="90">
        <f t="shared" si="303"/>
        <v>3.7216696269982243</v>
      </c>
      <c r="SS28" s="90">
        <f t="shared" si="304"/>
        <v>3.92</v>
      </c>
      <c r="ST28" s="90">
        <f t="shared" si="305"/>
        <v>2215.38</v>
      </c>
      <c r="SU28" s="90">
        <v>3.7216696269982243</v>
      </c>
      <c r="SV28" s="90">
        <f t="shared" si="306"/>
        <v>3.93</v>
      </c>
      <c r="SW28" s="90">
        <v>3.92</v>
      </c>
      <c r="SX28" s="90">
        <f t="shared" si="307"/>
        <v>2206.96</v>
      </c>
      <c r="SY28" s="90">
        <v>3.7216696269982243</v>
      </c>
      <c r="SZ28" s="90">
        <f t="shared" si="308"/>
        <v>2095.3000000000002</v>
      </c>
      <c r="TA28" s="90">
        <f t="shared" si="309"/>
        <v>0</v>
      </c>
      <c r="TB28" s="90">
        <v>0</v>
      </c>
      <c r="TC28" s="90">
        <f t="shared" si="310"/>
        <v>1283.956499999998</v>
      </c>
      <c r="TD28" s="90" t="e">
        <f>#REF!+#REF!</f>
        <v>#REF!</v>
      </c>
      <c r="TE28" s="90" t="e">
        <f t="shared" si="311"/>
        <v>#REF!</v>
      </c>
      <c r="TF28" s="90">
        <v>1126.546499999999</v>
      </c>
      <c r="TG28" s="90">
        <f t="shared" si="312"/>
        <v>20.217749707116102</v>
      </c>
      <c r="TH28" s="95"/>
      <c r="TI28" s="95"/>
      <c r="TJ28" s="95"/>
      <c r="TK28" s="95"/>
      <c r="TL28" s="95"/>
      <c r="TM28" s="95">
        <f t="shared" si="313"/>
        <v>0</v>
      </c>
      <c r="TN28" s="95">
        <f t="shared" si="314"/>
        <v>6350.6399999999994</v>
      </c>
      <c r="TO28" s="95">
        <f t="shared" si="315"/>
        <v>20.217749707116102</v>
      </c>
      <c r="TP28" s="95"/>
      <c r="TQ28" s="95">
        <f t="shared" si="316"/>
        <v>11.28</v>
      </c>
      <c r="TR28" s="95"/>
      <c r="TS28" s="95"/>
      <c r="TT28" s="95"/>
      <c r="TU28" s="95"/>
      <c r="TV28" s="95"/>
      <c r="TW28" s="95"/>
      <c r="TX28" s="95"/>
      <c r="TY28" s="95"/>
      <c r="TZ28" s="95">
        <f t="shared" si="317"/>
        <v>3.231382978723405</v>
      </c>
      <c r="UA28" s="95">
        <f t="shared" si="318"/>
        <v>0.49632000000000004</v>
      </c>
      <c r="UB28" s="90">
        <v>0</v>
      </c>
      <c r="UC28" s="90">
        <f t="shared" si="319"/>
        <v>0</v>
      </c>
      <c r="UD28" s="90">
        <f t="shared" si="320"/>
        <v>0</v>
      </c>
      <c r="UE28" s="90">
        <f t="shared" si="321"/>
        <v>0</v>
      </c>
      <c r="UF28" s="90">
        <f t="shared" si="322"/>
        <v>6350.6399999999994</v>
      </c>
      <c r="UG28" s="91">
        <f t="shared" si="323"/>
        <v>0</v>
      </c>
      <c r="UH28" s="95">
        <f t="shared" si="324"/>
        <v>20.217749707116102</v>
      </c>
      <c r="UI28" s="95">
        <f t="shared" si="325"/>
        <v>6350.6399999999994</v>
      </c>
      <c r="UJ28" s="101">
        <f t="shared" si="326"/>
        <v>0</v>
      </c>
      <c r="UK28" s="101">
        <f t="shared" si="327"/>
        <v>20.217749707116102</v>
      </c>
      <c r="UL28" s="90" t="e">
        <f>(#REF!+#REF!+HZ28+LT28+LZ28+MF28+ML28+QL28+QN28+SN28+TC28+TM28+UC28)/I28</f>
        <v>#REF!</v>
      </c>
      <c r="UN28" s="90" t="e">
        <f>#REF!/I28</f>
        <v>#REF!</v>
      </c>
      <c r="UO28" s="90" t="e">
        <f>#REF!/I28</f>
        <v>#REF!</v>
      </c>
      <c r="UP28" s="90">
        <v>1.1499999999999999</v>
      </c>
      <c r="UQ28" s="90" t="e">
        <f t="shared" si="328"/>
        <v>#REF!</v>
      </c>
      <c r="UR28" s="90">
        <f t="shared" si="329"/>
        <v>5542.4100000000008</v>
      </c>
      <c r="US28" s="90">
        <f t="shared" si="330"/>
        <v>7138.0033333333331</v>
      </c>
      <c r="UT28" s="90">
        <f t="shared" si="331"/>
        <v>7138.0033333333331</v>
      </c>
      <c r="UU28" s="90">
        <f t="shared" si="516"/>
        <v>7396.9833333333327</v>
      </c>
      <c r="UV28" s="90">
        <f t="shared" si="333"/>
        <v>7296.336666666667</v>
      </c>
      <c r="UW28" s="90">
        <f t="shared" si="334"/>
        <v>5.74</v>
      </c>
      <c r="UX28" s="90">
        <f t="shared" si="335"/>
        <v>3.92</v>
      </c>
      <c r="UY28" s="90">
        <f t="shared" si="336"/>
        <v>3.8019538188277089</v>
      </c>
      <c r="UZ28" s="100">
        <f t="shared" si="337"/>
        <v>3.551213368</v>
      </c>
      <c r="VA28" s="90">
        <f t="shared" si="338"/>
        <v>0.61</v>
      </c>
      <c r="VB28" s="90">
        <f t="shared" si="339"/>
        <v>1.21</v>
      </c>
      <c r="VC28" s="90">
        <f t="shared" si="340"/>
        <v>0</v>
      </c>
      <c r="VD28" s="90">
        <f t="shared" si="341"/>
        <v>0</v>
      </c>
      <c r="VE28" s="90">
        <f t="shared" si="342"/>
        <v>0</v>
      </c>
      <c r="VF28" s="90">
        <f t="shared" si="343"/>
        <v>0</v>
      </c>
      <c r="VG28" s="90">
        <f t="shared" si="344"/>
        <v>0</v>
      </c>
      <c r="VH28" s="90">
        <f t="shared" si="345"/>
        <v>0</v>
      </c>
      <c r="VI28" s="90">
        <f t="shared" si="346"/>
        <v>0</v>
      </c>
      <c r="VJ28" s="90">
        <f t="shared" si="347"/>
        <v>0</v>
      </c>
      <c r="VK28" s="90">
        <f t="shared" si="348"/>
        <v>1.06</v>
      </c>
      <c r="VL28" s="90">
        <f t="shared" si="349"/>
        <v>3.64</v>
      </c>
      <c r="VM28" s="90">
        <f t="shared" si="350"/>
        <v>2.08</v>
      </c>
      <c r="VN28" s="90">
        <f t="shared" si="351"/>
        <v>0</v>
      </c>
      <c r="VO28" s="90">
        <f t="shared" si="352"/>
        <v>2.08</v>
      </c>
      <c r="VP28" s="97">
        <v>0</v>
      </c>
      <c r="VQ28" s="97">
        <v>2.08</v>
      </c>
      <c r="VR28" s="90">
        <f t="shared" si="353"/>
        <v>0.34</v>
      </c>
      <c r="VS28" s="90">
        <f t="shared" si="354"/>
        <v>0.12</v>
      </c>
      <c r="VT28" s="90">
        <v>0.11989898989898991</v>
      </c>
      <c r="VU28" s="90">
        <f t="shared" si="355"/>
        <v>0.11920000000000001</v>
      </c>
      <c r="VV28" s="90">
        <v>0.38175323599898991</v>
      </c>
      <c r="VW28" s="90">
        <f t="shared" si="356"/>
        <v>0.46</v>
      </c>
      <c r="VX28" s="90">
        <f t="shared" si="357"/>
        <v>11.920000000000002</v>
      </c>
      <c r="VY28" s="90">
        <f t="shared" si="358"/>
        <v>11.920000000000002</v>
      </c>
      <c r="VZ28" s="90">
        <f t="shared" si="359"/>
        <v>0</v>
      </c>
      <c r="WA28" s="90"/>
      <c r="WB28" s="90">
        <f t="shared" si="360"/>
        <v>11.920000000000002</v>
      </c>
      <c r="WC28" s="90">
        <f t="shared" si="361"/>
        <v>0</v>
      </c>
      <c r="WD28" s="90"/>
      <c r="WE28" s="90">
        <v>11.920000000000002</v>
      </c>
      <c r="WF28" s="90"/>
      <c r="WG28" s="90">
        <f t="shared" si="362"/>
        <v>6710.9600000000009</v>
      </c>
      <c r="WH28" s="90">
        <f t="shared" si="363"/>
        <v>6710.9600000000009</v>
      </c>
      <c r="WI28" s="90">
        <f t="shared" si="364"/>
        <v>6713.4500000000007</v>
      </c>
      <c r="WJ28" s="90">
        <f t="shared" si="365"/>
        <v>5542.4100000000008</v>
      </c>
      <c r="WK28" s="97">
        <v>1171.04</v>
      </c>
      <c r="WL28" s="97">
        <v>2.08</v>
      </c>
      <c r="WM28" s="90">
        <f t="shared" si="366"/>
        <v>1171.04</v>
      </c>
      <c r="WN28" s="90">
        <f t="shared" si="367"/>
        <v>2.08</v>
      </c>
      <c r="WO28" s="90"/>
      <c r="WP28" s="97">
        <v>11.920000000000002</v>
      </c>
      <c r="WQ28" s="90">
        <f t="shared" si="368"/>
        <v>11.920000000000002</v>
      </c>
      <c r="WR28" s="91">
        <f t="shared" si="369"/>
        <v>105.67375886524826</v>
      </c>
      <c r="WS28" s="91">
        <f t="shared" si="370"/>
        <v>105.67375886524826</v>
      </c>
      <c r="WT28" s="90">
        <f t="shared" si="371"/>
        <v>6710.96</v>
      </c>
      <c r="WU28" s="90">
        <f t="shared" si="372"/>
        <v>6713.4500000000007</v>
      </c>
      <c r="WV28" s="90">
        <f t="shared" si="373"/>
        <v>-2.4900000000006912</v>
      </c>
      <c r="WW28" s="90"/>
      <c r="WX28" s="90"/>
      <c r="WY28" s="90"/>
      <c r="WZ28" s="90">
        <f t="shared" si="374"/>
        <v>2.0619959595959592</v>
      </c>
      <c r="XA28" s="90">
        <v>0</v>
      </c>
      <c r="XB28" s="90">
        <f t="shared" si="375"/>
        <v>2.0619959595959592</v>
      </c>
      <c r="XC28" s="90">
        <f t="shared" si="376"/>
        <v>0.35759999999999997</v>
      </c>
      <c r="XD28" s="90">
        <f t="shared" si="377"/>
        <v>0.1204040404040404</v>
      </c>
      <c r="XE28" s="90"/>
      <c r="XF28" s="90">
        <f t="shared" si="378"/>
        <v>11.92</v>
      </c>
      <c r="XG28" s="90">
        <v>2.0009706927175825</v>
      </c>
      <c r="XH28" s="20">
        <v>11.28</v>
      </c>
      <c r="XI28" s="20">
        <v>0</v>
      </c>
      <c r="XJ28" s="20"/>
      <c r="XK28" s="20"/>
      <c r="XL28" s="20"/>
      <c r="XM28" s="20">
        <f t="shared" si="379"/>
        <v>11.28</v>
      </c>
      <c r="XN28" s="91">
        <f t="shared" si="380"/>
        <v>105.67375886524826</v>
      </c>
      <c r="XO28" s="20">
        <f t="shared" si="381"/>
        <v>11.28</v>
      </c>
      <c r="XP28" s="90">
        <f t="shared" si="382"/>
        <v>11.28</v>
      </c>
      <c r="XQ28" s="91">
        <f t="shared" si="383"/>
        <v>105.67375886524826</v>
      </c>
      <c r="XR28" s="102"/>
      <c r="XS28" s="90">
        <f t="shared" si="384"/>
        <v>3.64</v>
      </c>
      <c r="XT28" s="90">
        <f t="shared" si="385"/>
        <v>5.74</v>
      </c>
      <c r="XU28" s="90">
        <f t="shared" si="386"/>
        <v>3.92</v>
      </c>
      <c r="XV28" s="90">
        <f t="shared" si="387"/>
        <v>0.61</v>
      </c>
      <c r="XW28" s="90">
        <f t="shared" si="388"/>
        <v>0.61</v>
      </c>
      <c r="XX28" s="90">
        <f t="shared" si="389"/>
        <v>0</v>
      </c>
      <c r="XY28" s="90">
        <f t="shared" si="390"/>
        <v>1.21</v>
      </c>
      <c r="XZ28" s="90">
        <f t="shared" si="391"/>
        <v>0</v>
      </c>
      <c r="YA28" s="90">
        <f t="shared" si="392"/>
        <v>0</v>
      </c>
      <c r="YB28" s="90">
        <f t="shared" si="537"/>
        <v>0</v>
      </c>
      <c r="YC28" s="90">
        <f t="shared" si="537"/>
        <v>0</v>
      </c>
      <c r="YD28" s="90">
        <f t="shared" si="394"/>
        <v>1.21</v>
      </c>
      <c r="YE28" s="90">
        <f t="shared" si="395"/>
        <v>2.08</v>
      </c>
      <c r="YF28" s="90">
        <f t="shared" si="396"/>
        <v>0.46</v>
      </c>
      <c r="YG28" s="90">
        <f t="shared" si="397"/>
        <v>11.920000000000002</v>
      </c>
      <c r="YI28" s="103" t="s">
        <v>472</v>
      </c>
      <c r="YK28" s="90">
        <f t="shared" si="398"/>
        <v>1.07</v>
      </c>
      <c r="YL28" s="90">
        <f t="shared" si="538"/>
        <v>0.61</v>
      </c>
      <c r="YM28" s="90">
        <f t="shared" si="538"/>
        <v>1.21</v>
      </c>
      <c r="YN28" s="90">
        <f t="shared" si="400"/>
        <v>3.64</v>
      </c>
      <c r="YO28" s="90">
        <f t="shared" si="401"/>
        <v>5.39</v>
      </c>
      <c r="YP28" s="90">
        <f t="shared" si="402"/>
        <v>0</v>
      </c>
      <c r="YQ28" s="90">
        <f t="shared" si="403"/>
        <v>11.920000000000002</v>
      </c>
      <c r="YR28" s="90">
        <f t="shared" si="404"/>
        <v>0</v>
      </c>
      <c r="YS28" s="104">
        <f t="shared" si="405"/>
        <v>11.92</v>
      </c>
      <c r="YT28" s="104">
        <f t="shared" si="406"/>
        <v>0</v>
      </c>
      <c r="YY28" s="90">
        <f t="shared" si="407"/>
        <v>7.7799999999999994</v>
      </c>
      <c r="YZ28" s="90">
        <f t="shared" si="408"/>
        <v>4.18</v>
      </c>
      <c r="ZA28" s="90">
        <f t="shared" si="409"/>
        <v>0.54</v>
      </c>
      <c r="ZB28" s="90">
        <f t="shared" si="410"/>
        <v>3.06</v>
      </c>
      <c r="ZC28" s="90">
        <f t="shared" si="411"/>
        <v>0</v>
      </c>
      <c r="ZD28" s="90">
        <f t="shared" si="412"/>
        <v>0</v>
      </c>
      <c r="ZE28" s="90">
        <f t="shared" si="413"/>
        <v>0</v>
      </c>
      <c r="ZF28" s="90">
        <f t="shared" si="414"/>
        <v>0</v>
      </c>
      <c r="ZG28" s="90">
        <f t="shared" si="415"/>
        <v>0</v>
      </c>
      <c r="ZH28" s="90">
        <f t="shared" si="416"/>
        <v>0</v>
      </c>
      <c r="ZI28" s="90">
        <f t="shared" si="417"/>
        <v>0</v>
      </c>
      <c r="ZJ28" s="90">
        <f t="shared" si="418"/>
        <v>0</v>
      </c>
      <c r="ZK28" s="90">
        <f t="shared" si="419"/>
        <v>0</v>
      </c>
      <c r="ZL28" s="90">
        <f t="shared" si="420"/>
        <v>0.02</v>
      </c>
      <c r="ZM28" s="90">
        <f t="shared" si="421"/>
        <v>4.1100000000000003</v>
      </c>
      <c r="ZN28" s="90">
        <f t="shared" si="422"/>
        <v>9.98</v>
      </c>
      <c r="ZO28" s="90">
        <f t="shared" si="423"/>
        <v>3.29</v>
      </c>
      <c r="ZP28" s="90">
        <f t="shared" si="424"/>
        <v>6.92</v>
      </c>
      <c r="ZQ28" s="90">
        <f t="shared" si="425"/>
        <v>0</v>
      </c>
      <c r="ZR28" s="90">
        <f t="shared" si="426"/>
        <v>6.92</v>
      </c>
      <c r="ZS28" s="97">
        <v>227</v>
      </c>
      <c r="ZT28" s="97">
        <v>230.38</v>
      </c>
      <c r="ZU28" s="90">
        <f t="shared" si="427"/>
        <v>0.59</v>
      </c>
      <c r="ZV28" s="90">
        <f t="shared" si="428"/>
        <v>0.2</v>
      </c>
      <c r="ZW28" s="90">
        <v>0.11989898989898991</v>
      </c>
      <c r="ZX28" s="90">
        <f t="shared" si="429"/>
        <v>0.19600000000000001</v>
      </c>
      <c r="ZY28" s="90">
        <v>0.38175323599898991</v>
      </c>
      <c r="ZZ28" s="90">
        <f t="shared" si="430"/>
        <v>0.79</v>
      </c>
      <c r="AAA28" s="90">
        <f t="shared" si="431"/>
        <v>19.600000000000001</v>
      </c>
      <c r="AAB28" s="90">
        <f t="shared" si="432"/>
        <v>19.600000000000001</v>
      </c>
      <c r="AAC28" s="90">
        <f t="shared" si="433"/>
        <v>0</v>
      </c>
      <c r="AAD28" s="90"/>
      <c r="AAE28" s="90">
        <f t="shared" si="434"/>
        <v>19.600000000000001</v>
      </c>
      <c r="AAF28" s="90">
        <v>11.920000000000002</v>
      </c>
      <c r="AAG28" s="90">
        <f t="shared" si="435"/>
        <v>164.42953020134229</v>
      </c>
      <c r="AAH28" s="90">
        <f t="shared" si="436"/>
        <v>0</v>
      </c>
      <c r="AAI28" s="90">
        <v>0</v>
      </c>
      <c r="AAJ28" s="90"/>
      <c r="AAK28" s="1">
        <v>19</v>
      </c>
      <c r="AAL28" s="104">
        <f t="shared" si="437"/>
        <v>0.60000000000000142</v>
      </c>
      <c r="AAM28" s="103" t="s">
        <v>453</v>
      </c>
      <c r="AAN28" s="105">
        <v>7.43</v>
      </c>
      <c r="AAO28" s="90">
        <f t="shared" si="438"/>
        <v>8.5200000000000014</v>
      </c>
      <c r="AAP28" s="90">
        <v>4.21</v>
      </c>
      <c r="AAQ28" s="90">
        <f t="shared" si="439"/>
        <v>4.18</v>
      </c>
      <c r="AAR28" s="90">
        <v>0.54</v>
      </c>
      <c r="AAS28" s="90">
        <f t="shared" si="440"/>
        <v>0.82</v>
      </c>
      <c r="AAT28" s="90">
        <f t="shared" si="441"/>
        <v>151.85185185185185</v>
      </c>
      <c r="AAU28" s="90">
        <v>2.68</v>
      </c>
      <c r="AAV28" s="90">
        <f t="shared" si="442"/>
        <v>3.06</v>
      </c>
      <c r="AAW28" s="90">
        <f t="shared" si="443"/>
        <v>114.17910447761193</v>
      </c>
      <c r="AAX28" s="90">
        <f t="shared" si="444"/>
        <v>0.46</v>
      </c>
      <c r="AAY28" s="90">
        <f t="shared" si="445"/>
        <v>0</v>
      </c>
      <c r="AAZ28" s="90">
        <f t="shared" si="446"/>
        <v>0</v>
      </c>
      <c r="ABA28" s="90">
        <f t="shared" si="447"/>
        <v>0</v>
      </c>
      <c r="ABB28" s="90">
        <f t="shared" si="448"/>
        <v>0</v>
      </c>
      <c r="ABC28" s="90">
        <v>0</v>
      </c>
      <c r="ABD28" s="90">
        <f t="shared" si="449"/>
        <v>0</v>
      </c>
      <c r="ABE28" s="90"/>
      <c r="ABF28" s="90">
        <v>0</v>
      </c>
      <c r="ABG28" s="90">
        <f t="shared" si="450"/>
        <v>0</v>
      </c>
      <c r="ABH28" s="90"/>
      <c r="ABI28" s="90">
        <f t="shared" si="451"/>
        <v>0</v>
      </c>
      <c r="ABJ28" s="90">
        <f t="shared" si="452"/>
        <v>0</v>
      </c>
      <c r="ABK28" s="90">
        <v>0</v>
      </c>
      <c r="ABL28" s="90">
        <f t="shared" si="453"/>
        <v>0</v>
      </c>
      <c r="ABM28" s="90">
        <f t="shared" si="454"/>
        <v>0</v>
      </c>
      <c r="ABN28" s="90">
        <f t="shared" si="455"/>
        <v>0.02</v>
      </c>
      <c r="ABO28" s="90">
        <v>3.91</v>
      </c>
      <c r="ABP28" s="90">
        <f t="shared" si="456"/>
        <v>4.1100000000000003</v>
      </c>
      <c r="ABQ28" s="90">
        <f t="shared" si="457"/>
        <v>105.1150895140665</v>
      </c>
      <c r="ABR28" s="90">
        <f t="shared" si="458"/>
        <v>9.98</v>
      </c>
      <c r="ABS28" s="90">
        <f t="shared" si="459"/>
        <v>3.29</v>
      </c>
      <c r="ABT28" s="90">
        <v>6.92</v>
      </c>
      <c r="ABU28" s="90">
        <f t="shared" si="460"/>
        <v>6.92</v>
      </c>
      <c r="ABV28" s="90">
        <f t="shared" si="461"/>
        <v>100</v>
      </c>
      <c r="ABW28" s="90">
        <f t="shared" si="462"/>
        <v>0</v>
      </c>
      <c r="ABX28" s="90">
        <f t="shared" si="463"/>
        <v>6.92</v>
      </c>
      <c r="ABY28" s="97">
        <v>227</v>
      </c>
      <c r="ABZ28" s="97">
        <v>230.38</v>
      </c>
      <c r="ACA28" s="90">
        <f t="shared" si="464"/>
        <v>0.59</v>
      </c>
      <c r="ACB28" s="90">
        <f t="shared" si="465"/>
        <v>0.2</v>
      </c>
      <c r="ACC28" s="90">
        <v>0.11989898989898991</v>
      </c>
      <c r="ACD28" s="90">
        <f t="shared" si="466"/>
        <v>0.19880000000000003</v>
      </c>
      <c r="ACE28" s="90">
        <v>0.38175323599898991</v>
      </c>
      <c r="ACF28" s="90">
        <v>0.74</v>
      </c>
      <c r="ACG28" s="90">
        <f t="shared" si="467"/>
        <v>0.79</v>
      </c>
      <c r="ACH28" s="90">
        <f t="shared" si="468"/>
        <v>106.75675675675676</v>
      </c>
      <c r="ACI28" s="90">
        <f t="shared" si="469"/>
        <v>20.340000000000003</v>
      </c>
      <c r="ACJ28" s="90">
        <f t="shared" si="470"/>
        <v>19.880000000000003</v>
      </c>
      <c r="ACK28" s="90">
        <f t="shared" si="471"/>
        <v>-0.46000000000000085</v>
      </c>
      <c r="ACL28" s="90"/>
      <c r="ACM28" s="90">
        <f t="shared" si="472"/>
        <v>20.340000000000003</v>
      </c>
      <c r="ACN28" s="90">
        <f t="shared" si="473"/>
        <v>0</v>
      </c>
      <c r="ACO28" s="90">
        <f t="shared" si="474"/>
        <v>20.340000000000003</v>
      </c>
      <c r="ACP28" s="90">
        <v>18.999999999999996</v>
      </c>
      <c r="ACQ28" s="90">
        <f t="shared" si="475"/>
        <v>107.0526315789474</v>
      </c>
      <c r="ACR28" s="90">
        <f t="shared" si="476"/>
        <v>0</v>
      </c>
      <c r="ACS28" s="90">
        <v>0</v>
      </c>
      <c r="ACT28" s="90"/>
      <c r="ACU28" s="90">
        <f t="shared" si="477"/>
        <v>19.968999999999994</v>
      </c>
      <c r="ACV28" s="90">
        <f t="shared" si="478"/>
        <v>-0.37100000000000932</v>
      </c>
      <c r="ACX28" s="106" t="s">
        <v>454</v>
      </c>
      <c r="ACY28" s="107"/>
      <c r="ACZ28" s="107">
        <v>130000</v>
      </c>
      <c r="ADB28" s="90">
        <f t="shared" si="479"/>
        <v>4.1100000000000003</v>
      </c>
      <c r="ADC28" s="90">
        <f t="shared" si="480"/>
        <v>8.52</v>
      </c>
      <c r="ADD28" s="90">
        <f t="shared" si="481"/>
        <v>4.18</v>
      </c>
      <c r="ADE28" s="90">
        <f t="shared" si="517"/>
        <v>1.28</v>
      </c>
      <c r="ADF28" s="90">
        <f t="shared" si="483"/>
        <v>0.82</v>
      </c>
      <c r="ADG28" s="90">
        <f t="shared" si="539"/>
        <v>0.46</v>
      </c>
      <c r="ADH28" s="90">
        <f t="shared" si="539"/>
        <v>0</v>
      </c>
      <c r="ADI28" s="90">
        <f t="shared" si="539"/>
        <v>0</v>
      </c>
      <c r="ADJ28" s="90">
        <f t="shared" si="485"/>
        <v>3.06</v>
      </c>
      <c r="ADK28" s="90">
        <f t="shared" si="486"/>
        <v>0</v>
      </c>
      <c r="ADL28" s="90">
        <f t="shared" si="487"/>
        <v>0</v>
      </c>
      <c r="ADM28" s="90">
        <f t="shared" si="540"/>
        <v>0</v>
      </c>
      <c r="ADN28" s="90">
        <f t="shared" si="540"/>
        <v>0</v>
      </c>
      <c r="ADO28" s="90">
        <f t="shared" si="489"/>
        <v>3.06</v>
      </c>
      <c r="ADP28" s="90">
        <f t="shared" si="490"/>
        <v>6.92</v>
      </c>
      <c r="ADQ28" s="90">
        <f t="shared" si="491"/>
        <v>0.79</v>
      </c>
      <c r="ADR28" s="90">
        <f t="shared" si="492"/>
        <v>20.339999999999996</v>
      </c>
      <c r="ADU28" s="90">
        <f t="shared" si="493"/>
        <v>1.1499999999999999</v>
      </c>
      <c r="ADV28" s="90">
        <f t="shared" si="494"/>
        <v>0.82</v>
      </c>
      <c r="ADW28" s="90">
        <f t="shared" si="495"/>
        <v>3.06</v>
      </c>
      <c r="ADX28" s="90">
        <f t="shared" si="496"/>
        <v>4.1100000000000003</v>
      </c>
      <c r="ADY28" s="90">
        <f t="shared" si="497"/>
        <v>10.739999999999998</v>
      </c>
      <c r="ADZ28" s="90">
        <f t="shared" si="498"/>
        <v>0</v>
      </c>
      <c r="AEA28" s="90">
        <f t="shared" si="499"/>
        <v>20.340000000000003</v>
      </c>
      <c r="AEB28" s="90">
        <f t="shared" si="500"/>
        <v>0</v>
      </c>
      <c r="AEC28" s="104">
        <f t="shared" si="501"/>
        <v>19.88</v>
      </c>
      <c r="AED28" s="104">
        <f t="shared" si="502"/>
        <v>0.46000000000000441</v>
      </c>
      <c r="AEG28" s="1">
        <v>7.43</v>
      </c>
      <c r="AEH28" s="1">
        <v>4.21</v>
      </c>
      <c r="AEI28" s="1">
        <v>0.54</v>
      </c>
      <c r="AEJ28" s="1">
        <v>2.68</v>
      </c>
      <c r="AEK28" s="1">
        <v>0</v>
      </c>
      <c r="AEL28" s="1">
        <v>0</v>
      </c>
      <c r="AEM28" s="1">
        <v>0</v>
      </c>
      <c r="AEN28" s="1">
        <v>0</v>
      </c>
      <c r="AEO28" s="1">
        <v>0</v>
      </c>
      <c r="AEP28" s="1">
        <v>0</v>
      </c>
      <c r="AEQ28" s="1">
        <v>0</v>
      </c>
      <c r="AER28" s="1">
        <v>0</v>
      </c>
      <c r="AES28" s="1">
        <v>0</v>
      </c>
      <c r="AET28" s="1">
        <v>0</v>
      </c>
      <c r="AEU28" s="1">
        <v>0</v>
      </c>
      <c r="AEV28" s="1">
        <v>0.02</v>
      </c>
      <c r="AEW28" s="1">
        <v>3.91</v>
      </c>
      <c r="AEX28" s="1">
        <v>9.6</v>
      </c>
      <c r="AEY28" s="1">
        <v>3.29</v>
      </c>
      <c r="AEZ28" s="1">
        <v>6.92</v>
      </c>
      <c r="AFA28" s="1">
        <v>0</v>
      </c>
      <c r="AFB28" s="1">
        <v>6.92</v>
      </c>
      <c r="AFC28" s="1">
        <v>227</v>
      </c>
      <c r="AFD28" s="1">
        <v>230.38</v>
      </c>
      <c r="AFE28" s="1">
        <v>0.55000000000000004</v>
      </c>
      <c r="AFF28" s="1">
        <v>0.19</v>
      </c>
      <c r="AFG28" s="1">
        <v>0.11989898989898991</v>
      </c>
      <c r="AFH28" s="1">
        <v>0.18999999999999997</v>
      </c>
      <c r="AFI28" s="1">
        <v>0.38175323599898991</v>
      </c>
      <c r="AFJ28" s="1">
        <v>0.74</v>
      </c>
      <c r="AFK28" s="1">
        <v>18.999999999999996</v>
      </c>
      <c r="AFL28" s="1">
        <v>18.999999999999996</v>
      </c>
      <c r="AFM28" s="1">
        <v>0</v>
      </c>
      <c r="AFO28" s="1">
        <v>18.999999999999996</v>
      </c>
      <c r="AFP28" s="1">
        <v>0</v>
      </c>
      <c r="AFQ28" s="1">
        <v>19</v>
      </c>
      <c r="AFX28" s="1">
        <v>20.079999999999998</v>
      </c>
    </row>
    <row r="29" spans="1:856" s="1" customFormat="1" ht="63.75" customHeight="1">
      <c r="A29" s="88">
        <v>21</v>
      </c>
      <c r="B29" s="20"/>
      <c r="C29" s="89" t="s">
        <v>495</v>
      </c>
      <c r="D29" s="20"/>
      <c r="E29" s="20" t="s">
        <v>437</v>
      </c>
      <c r="F29" s="20" t="s">
        <v>438</v>
      </c>
      <c r="G29" s="20">
        <v>0.8</v>
      </c>
      <c r="H29" s="20">
        <v>358.2</v>
      </c>
      <c r="I29" s="91">
        <v>216</v>
      </c>
      <c r="J29" s="91">
        <f t="shared" si="0"/>
        <v>172.8</v>
      </c>
      <c r="K29" s="109">
        <v>4</v>
      </c>
      <c r="L29" s="109"/>
      <c r="M29" s="109"/>
      <c r="N29" s="109"/>
      <c r="O29" s="90">
        <f t="shared" si="1"/>
        <v>0</v>
      </c>
      <c r="P29" s="109"/>
      <c r="Q29" s="109"/>
      <c r="R29" s="90">
        <f t="shared" si="2"/>
        <v>0</v>
      </c>
      <c r="S29" s="109">
        <v>20</v>
      </c>
      <c r="T29" s="20">
        <v>2.6</v>
      </c>
      <c r="U29" s="20">
        <v>3.13</v>
      </c>
      <c r="V29" s="91">
        <f t="shared" si="3"/>
        <v>162.76</v>
      </c>
      <c r="W29" s="20">
        <v>2.1000000000000001E-2</v>
      </c>
      <c r="X29" s="20">
        <f t="shared" si="4"/>
        <v>33.42</v>
      </c>
      <c r="Y29" s="91">
        <f t="shared" si="5"/>
        <v>14.04</v>
      </c>
      <c r="Z29" s="20"/>
      <c r="AA29" s="20"/>
      <c r="AB29" s="20"/>
      <c r="AC29" s="91">
        <f t="shared" si="6"/>
        <v>176.8</v>
      </c>
      <c r="AD29" s="90">
        <f t="shared" si="7"/>
        <v>0.82</v>
      </c>
      <c r="AE29" s="92">
        <f t="shared" si="8"/>
        <v>2121.6000000000004</v>
      </c>
      <c r="AF29" s="109">
        <v>8</v>
      </c>
      <c r="AG29" s="109">
        <v>8</v>
      </c>
      <c r="AH29" s="109">
        <v>8</v>
      </c>
      <c r="AI29" s="109">
        <v>8</v>
      </c>
      <c r="AJ29" s="20">
        <v>1.6</v>
      </c>
      <c r="AK29" s="90">
        <f t="shared" si="9"/>
        <v>1.07</v>
      </c>
      <c r="AL29" s="90">
        <v>391.01</v>
      </c>
      <c r="AM29" s="90">
        <f t="shared" si="10"/>
        <v>418.38</v>
      </c>
      <c r="AN29" s="109">
        <v>8</v>
      </c>
      <c r="AO29" s="109">
        <v>8</v>
      </c>
      <c r="AP29" s="109">
        <v>8</v>
      </c>
      <c r="AQ29" s="109">
        <v>8</v>
      </c>
      <c r="AR29" s="109">
        <v>8</v>
      </c>
      <c r="AS29" s="109">
        <v>8</v>
      </c>
      <c r="AT29" s="20">
        <f t="shared" si="11"/>
        <v>0</v>
      </c>
      <c r="AU29" s="20">
        <v>1.6</v>
      </c>
      <c r="AV29" s="90">
        <f t="shared" si="12"/>
        <v>1.07</v>
      </c>
      <c r="AW29" s="90">
        <f t="shared" si="523"/>
        <v>188.88</v>
      </c>
      <c r="AX29" s="90">
        <v>201.47</v>
      </c>
      <c r="AY29" s="90">
        <f t="shared" si="14"/>
        <v>0.93</v>
      </c>
      <c r="AZ29" s="90">
        <f t="shared" si="15"/>
        <v>417.08</v>
      </c>
      <c r="BA29" s="90">
        <f t="shared" si="16"/>
        <v>-215.60999999999999</v>
      </c>
      <c r="BB29" s="90">
        <v>201.47</v>
      </c>
      <c r="BC29" s="90">
        <v>0.93</v>
      </c>
      <c r="BD29" s="92">
        <f t="shared" si="17"/>
        <v>2417.64</v>
      </c>
      <c r="BE29" s="90"/>
      <c r="BF29" s="90">
        <f t="shared" si="18"/>
        <v>0</v>
      </c>
      <c r="BG29" s="90">
        <v>391.01</v>
      </c>
      <c r="BH29" s="90">
        <f t="shared" si="19"/>
        <v>418.38</v>
      </c>
      <c r="BI29" s="90">
        <f t="shared" si="20"/>
        <v>1.94</v>
      </c>
      <c r="BJ29" s="90">
        <f t="shared" si="21"/>
        <v>208.6021505376344</v>
      </c>
      <c r="BK29" s="90">
        <f t="shared" si="22"/>
        <v>418.38</v>
      </c>
      <c r="BL29" s="90">
        <f t="shared" si="23"/>
        <v>1.94</v>
      </c>
      <c r="BM29" s="90"/>
      <c r="BN29" s="90">
        <f t="shared" si="24"/>
        <v>0</v>
      </c>
      <c r="BO29" s="90">
        <f t="shared" si="25"/>
        <v>418.38</v>
      </c>
      <c r="BP29" s="90">
        <f t="shared" si="26"/>
        <v>1.9369444444444444</v>
      </c>
      <c r="BQ29" s="90"/>
      <c r="BR29" s="90">
        <f t="shared" si="27"/>
        <v>0</v>
      </c>
      <c r="BS29" s="90">
        <f t="shared" si="28"/>
        <v>418.38</v>
      </c>
      <c r="BT29" s="90">
        <f t="shared" si="29"/>
        <v>1.9369444444444444</v>
      </c>
      <c r="BU29" s="90"/>
      <c r="BV29" s="93">
        <v>1.4356370000000001</v>
      </c>
      <c r="BW29" s="90">
        <f t="shared" si="30"/>
        <v>310.09759200000002</v>
      </c>
      <c r="BX29" s="90">
        <f t="shared" si="31"/>
        <v>328.70344752000005</v>
      </c>
      <c r="BY29" s="90"/>
      <c r="BZ29" s="90"/>
      <c r="CA29" s="90">
        <v>0.2651</v>
      </c>
      <c r="CB29" s="90">
        <f>I29*CA29</f>
        <v>57.261600000000001</v>
      </c>
      <c r="CC29" s="90">
        <v>0.71072749999999996</v>
      </c>
      <c r="CD29" s="90">
        <f t="shared" si="33"/>
        <v>40.697393814000002</v>
      </c>
      <c r="CE29" s="90">
        <f t="shared" si="34"/>
        <v>61.534609572703047</v>
      </c>
      <c r="CF29" s="90">
        <v>60.07255343862068</v>
      </c>
      <c r="CG29" s="90">
        <v>60.07255343862068</v>
      </c>
      <c r="CH29" s="90">
        <f t="shared" si="35"/>
        <v>62.96</v>
      </c>
      <c r="CI29" s="90">
        <f t="shared" si="524"/>
        <v>66.033181702018908</v>
      </c>
      <c r="CJ29" s="90">
        <f t="shared" si="36"/>
        <v>66.42</v>
      </c>
      <c r="CK29" s="90">
        <f t="shared" si="37"/>
        <v>70.203698441093792</v>
      </c>
      <c r="CL29" s="90">
        <f t="shared" si="38"/>
        <v>70.203698441093792</v>
      </c>
      <c r="CM29" s="94">
        <v>0.14899999999999999</v>
      </c>
      <c r="CN29" s="90">
        <f t="shared" si="39"/>
        <v>46.204541208000002</v>
      </c>
      <c r="CO29" s="90">
        <f t="shared" si="40"/>
        <v>48.976813680480006</v>
      </c>
      <c r="CP29" s="90"/>
      <c r="CQ29" s="90">
        <v>0.04</v>
      </c>
      <c r="CR29" s="90">
        <f>I29*CQ29</f>
        <v>8.64</v>
      </c>
      <c r="CS29" s="90">
        <v>0.71072749999999996</v>
      </c>
      <c r="CT29" s="90">
        <f t="shared" si="42"/>
        <v>6.1406856000000003</v>
      </c>
      <c r="CU29" s="90">
        <f t="shared" si="43"/>
        <v>9.2847392791705836</v>
      </c>
      <c r="CV29" s="90">
        <v>18.778921352085991</v>
      </c>
      <c r="CW29" s="90">
        <f t="shared" si="44"/>
        <v>19.68</v>
      </c>
      <c r="CX29" s="90">
        <f t="shared" si="525"/>
        <v>20.640613340148221</v>
      </c>
      <c r="CY29" s="90">
        <f t="shared" si="45"/>
        <v>20.76</v>
      </c>
      <c r="CZ29" s="90">
        <f t="shared" si="46"/>
        <v>21.944231024789165</v>
      </c>
      <c r="DA29" s="90">
        <f t="shared" si="47"/>
        <v>21.944231024789165</v>
      </c>
      <c r="DB29" s="93">
        <v>1.4169099999999999</v>
      </c>
      <c r="DC29" s="90">
        <f t="shared" si="48"/>
        <v>306.05255999999997</v>
      </c>
      <c r="DD29" s="90">
        <f t="shared" si="49"/>
        <v>324.4157136</v>
      </c>
      <c r="DE29" s="90"/>
      <c r="DF29" s="90"/>
      <c r="DG29" s="90">
        <v>0.16</v>
      </c>
      <c r="DH29" s="90">
        <f>I29*DG29</f>
        <v>34.56</v>
      </c>
      <c r="DI29" s="90">
        <v>0.71072749999999996</v>
      </c>
      <c r="DJ29" s="90">
        <f t="shared" si="51"/>
        <v>24.562742400000001</v>
      </c>
      <c r="DK29" s="90">
        <f t="shared" si="52"/>
        <v>37.138957116682334</v>
      </c>
      <c r="DL29" s="90">
        <v>29.380299219514313</v>
      </c>
      <c r="DM29" s="90">
        <f t="shared" si="53"/>
        <v>30.79</v>
      </c>
      <c r="DN29" s="90">
        <f t="shared" si="526"/>
        <v>32.292910810120112</v>
      </c>
      <c r="DO29" s="90">
        <f t="shared" si="54"/>
        <v>32.479999999999997</v>
      </c>
      <c r="DP29" s="90">
        <f t="shared" si="55"/>
        <v>34.332463071811915</v>
      </c>
      <c r="DQ29" s="90">
        <f t="shared" si="56"/>
        <v>34.332463071811915</v>
      </c>
      <c r="DR29" s="93">
        <v>5.6880149999999997E-2</v>
      </c>
      <c r="DS29" s="90">
        <f t="shared" si="57"/>
        <v>12.286112399999999</v>
      </c>
      <c r="DT29" s="90">
        <f t="shared" si="58"/>
        <v>13.023279144</v>
      </c>
      <c r="DU29" s="90"/>
      <c r="DV29" s="90">
        <v>0.01</v>
      </c>
      <c r="DW29" s="90">
        <f>I29*DV29</f>
        <v>2.16</v>
      </c>
      <c r="DX29" s="90">
        <v>0.71072749999999996</v>
      </c>
      <c r="DY29" s="90">
        <f t="shared" si="60"/>
        <v>1.5351714000000001</v>
      </c>
      <c r="DZ29" s="90">
        <f t="shared" si="61"/>
        <v>2.3211848197926459</v>
      </c>
      <c r="EA29" s="90">
        <f t="shared" si="62"/>
        <v>2.4300000000000002</v>
      </c>
      <c r="EB29" s="90">
        <f t="shared" si="527"/>
        <v>2.5486123179146438</v>
      </c>
      <c r="EC29" s="90">
        <f t="shared" si="63"/>
        <v>2.56</v>
      </c>
      <c r="ED29" s="90">
        <f t="shared" si="64"/>
        <v>2.7095773064145163</v>
      </c>
      <c r="EE29" s="90">
        <f t="shared" si="65"/>
        <v>2.7095773064145163</v>
      </c>
      <c r="EF29" s="94">
        <v>0.85293354333000004</v>
      </c>
      <c r="EG29" s="90">
        <f t="shared" si="66"/>
        <v>147.38691628742401</v>
      </c>
      <c r="EH29" s="90">
        <f t="shared" si="67"/>
        <v>156.23013126466947</v>
      </c>
      <c r="EI29" s="90"/>
      <c r="EJ29" s="90">
        <v>0.58975</v>
      </c>
      <c r="EK29" s="90">
        <f t="shared" si="68"/>
        <v>101.9088</v>
      </c>
      <c r="EL29" s="90">
        <v>0.71072749999999996</v>
      </c>
      <c r="EM29" s="90">
        <f t="shared" si="69"/>
        <v>72.429386651999991</v>
      </c>
      <c r="EN29" s="90">
        <f t="shared" si="70"/>
        <v>109.51349979781703</v>
      </c>
      <c r="EO29" s="90">
        <v>106.80244362877882</v>
      </c>
      <c r="EP29" s="90">
        <f t="shared" si="71"/>
        <v>111.93</v>
      </c>
      <c r="EQ29" s="90">
        <f t="shared" si="528"/>
        <v>117.39348837209302</v>
      </c>
      <c r="ER29" s="90">
        <f t="shared" si="72"/>
        <v>118.09</v>
      </c>
      <c r="ES29" s="90">
        <f t="shared" si="73"/>
        <v>124.80781395348838</v>
      </c>
      <c r="ET29" s="90">
        <f t="shared" si="74"/>
        <v>124.80781395348838</v>
      </c>
      <c r="EU29" s="94">
        <v>0.14899999999999999</v>
      </c>
      <c r="EV29" s="90">
        <f t="shared" si="75"/>
        <v>21.960650526826178</v>
      </c>
      <c r="EW29" s="90">
        <f t="shared" si="76"/>
        <v>23.278289558435752</v>
      </c>
      <c r="EX29" s="90"/>
      <c r="EY29" s="90">
        <v>8.7870000000000004E-2</v>
      </c>
      <c r="EZ29" s="90">
        <f t="shared" si="77"/>
        <v>15.183936000000001</v>
      </c>
      <c r="FA29" s="90">
        <v>0.71072749999999996</v>
      </c>
      <c r="FB29" s="90">
        <f t="shared" si="78"/>
        <v>10.79164087344</v>
      </c>
      <c r="FC29" s="90">
        <f t="shared" si="79"/>
        <v>16.317000809214385</v>
      </c>
      <c r="FD29" s="90">
        <v>33.025050756538235</v>
      </c>
      <c r="FE29" s="90">
        <f t="shared" si="80"/>
        <v>34.61</v>
      </c>
      <c r="FF29" s="90">
        <f t="shared" si="529"/>
        <v>36.299371326348073</v>
      </c>
      <c r="FG29" s="90">
        <f t="shared" si="81"/>
        <v>36.51</v>
      </c>
      <c r="FH29" s="90">
        <f t="shared" si="82"/>
        <v>38.591963199591113</v>
      </c>
      <c r="FI29" s="90">
        <f t="shared" si="83"/>
        <v>38.591963199591113</v>
      </c>
      <c r="FJ29" s="93">
        <v>0.49981642240000002</v>
      </c>
      <c r="FK29" s="90">
        <f t="shared" si="84"/>
        <v>86.368277790720015</v>
      </c>
      <c r="FL29" s="90">
        <f t="shared" si="85"/>
        <v>91.550374458163219</v>
      </c>
      <c r="FM29" s="90"/>
      <c r="FN29" s="90">
        <v>0.35812500000000003</v>
      </c>
      <c r="FO29" s="90">
        <f t="shared" si="86"/>
        <v>61.884000000000007</v>
      </c>
      <c r="FP29" s="90">
        <v>0.71072749999999996</v>
      </c>
      <c r="FQ29" s="90">
        <f t="shared" si="87"/>
        <v>43.982660610000003</v>
      </c>
      <c r="FR29" s="90">
        <f t="shared" si="88"/>
        <v>66.501945087059312</v>
      </c>
      <c r="FS29" s="90">
        <v>52.423810540998801</v>
      </c>
      <c r="FT29" s="90">
        <f t="shared" si="89"/>
        <v>54.94</v>
      </c>
      <c r="FU29" s="90">
        <v>52.231483267108587</v>
      </c>
      <c r="FV29" s="90">
        <f t="shared" si="90"/>
        <v>54.74</v>
      </c>
      <c r="FW29" s="90">
        <f t="shared" si="530"/>
        <v>57.411949910554561</v>
      </c>
      <c r="FX29" s="90">
        <f t="shared" si="91"/>
        <v>57.75</v>
      </c>
      <c r="FY29" s="90">
        <f t="shared" si="92"/>
        <v>61.037967799642225</v>
      </c>
      <c r="FZ29" s="90">
        <f t="shared" si="93"/>
        <v>61.037967799642225</v>
      </c>
      <c r="GA29" s="94">
        <v>1.352261642E-2</v>
      </c>
      <c r="GB29" s="90">
        <f t="shared" si="94"/>
        <v>2.3367081173760003</v>
      </c>
      <c r="GC29" s="90">
        <f t="shared" si="95"/>
        <v>2.4769106044185603</v>
      </c>
      <c r="GD29" s="90"/>
      <c r="GE29" s="90">
        <v>1.0749999999999999E-2</v>
      </c>
      <c r="GF29" s="90">
        <f t="shared" si="96"/>
        <v>1.8575999999999999</v>
      </c>
      <c r="GG29" s="90">
        <v>0.71072749999999996</v>
      </c>
      <c r="GH29" s="90">
        <f t="shared" si="97"/>
        <v>1.3202474039999998</v>
      </c>
      <c r="GI29" s="90">
        <f t="shared" si="98"/>
        <v>1.9962189450216754</v>
      </c>
      <c r="GJ29" s="90">
        <f t="shared" si="99"/>
        <v>2.09</v>
      </c>
      <c r="GK29" s="90">
        <f t="shared" si="531"/>
        <v>2.192016355737286</v>
      </c>
      <c r="GL29" s="90">
        <f t="shared" si="100"/>
        <v>2.2000000000000002</v>
      </c>
      <c r="GM29" s="90">
        <f t="shared" si="101"/>
        <v>2.3304594939943781</v>
      </c>
      <c r="GN29" s="90">
        <f t="shared" si="102"/>
        <v>2.3304594939943781</v>
      </c>
      <c r="GO29" s="90"/>
      <c r="GP29" s="90">
        <f t="shared" si="103"/>
        <v>0</v>
      </c>
      <c r="GQ29" s="90"/>
      <c r="GR29" s="90">
        <f t="shared" si="104"/>
        <v>0</v>
      </c>
      <c r="GS29" s="90">
        <f t="shared" si="105"/>
        <v>0</v>
      </c>
      <c r="GT29" s="90">
        <f t="shared" si="106"/>
        <v>0</v>
      </c>
      <c r="GU29" s="90"/>
      <c r="GV29" s="90"/>
      <c r="GW29" s="90">
        <f t="shared" si="107"/>
        <v>0</v>
      </c>
      <c r="GX29" s="90">
        <f t="shared" si="108"/>
        <v>0</v>
      </c>
      <c r="GY29" s="90"/>
      <c r="GZ29" s="90"/>
      <c r="HA29" s="90">
        <f t="shared" si="109"/>
        <v>0</v>
      </c>
      <c r="HB29" s="90">
        <f t="shared" si="110"/>
        <v>0</v>
      </c>
      <c r="HC29" s="90"/>
      <c r="HD29" s="90"/>
      <c r="HE29" s="90">
        <f t="shared" si="111"/>
        <v>0</v>
      </c>
      <c r="HF29" s="90">
        <f t="shared" si="112"/>
        <v>0</v>
      </c>
      <c r="HG29" s="90"/>
      <c r="HH29" s="90"/>
      <c r="HI29" s="90">
        <v>0.96</v>
      </c>
      <c r="HJ29" s="90">
        <f t="shared" si="113"/>
        <v>207.35999999999999</v>
      </c>
      <c r="HK29" s="90">
        <f t="shared" si="114"/>
        <v>1.0060648148148148</v>
      </c>
      <c r="HL29" s="90">
        <f t="shared" si="115"/>
        <v>217.31</v>
      </c>
      <c r="HM29" s="90">
        <v>1.07</v>
      </c>
      <c r="HN29" s="90">
        <f t="shared" si="116"/>
        <v>231.12</v>
      </c>
      <c r="HO29" s="90">
        <v>1.1499999999999999</v>
      </c>
      <c r="HP29" s="90">
        <f t="shared" si="117"/>
        <v>248.4</v>
      </c>
      <c r="HQ29" s="90">
        <v>1.1499999999999999</v>
      </c>
      <c r="HR29" s="90">
        <f t="shared" si="118"/>
        <v>248.4</v>
      </c>
      <c r="HS29" s="90">
        <v>0.31919999999999998</v>
      </c>
      <c r="HT29" s="90">
        <f t="shared" si="119"/>
        <v>68.947199999999995</v>
      </c>
      <c r="HU29" s="90" t="e">
        <f>HT29*#REF!</f>
        <v>#REF!</v>
      </c>
      <c r="HV29" s="90">
        <v>2.83</v>
      </c>
      <c r="HW29" s="90">
        <v>3.1</v>
      </c>
      <c r="HX29" s="90">
        <f t="shared" si="120"/>
        <v>669.6</v>
      </c>
      <c r="HY29" s="90">
        <v>1.06</v>
      </c>
      <c r="HZ29" s="90">
        <f t="shared" si="121"/>
        <v>709.77600000000007</v>
      </c>
      <c r="IA29" s="90">
        <f t="shared" si="122"/>
        <v>3.29</v>
      </c>
      <c r="IB29" s="90">
        <f t="shared" si="123"/>
        <v>3.45</v>
      </c>
      <c r="IC29" s="90">
        <f t="shared" si="124"/>
        <v>745.2</v>
      </c>
      <c r="ID29" s="90">
        <f t="shared" si="125"/>
        <v>3.64</v>
      </c>
      <c r="IE29" s="90">
        <f t="shared" si="126"/>
        <v>786.24</v>
      </c>
      <c r="IF29" s="90">
        <f t="shared" si="127"/>
        <v>3.64</v>
      </c>
      <c r="IG29" s="92">
        <f t="shared" si="128"/>
        <v>9434.880000000001</v>
      </c>
      <c r="IH29" s="90">
        <v>3.91</v>
      </c>
      <c r="II29" s="90">
        <f t="shared" si="129"/>
        <v>4.1100000000000003</v>
      </c>
      <c r="IJ29" s="90">
        <f t="shared" si="130"/>
        <v>887.76</v>
      </c>
      <c r="IK29" s="90">
        <f t="shared" si="131"/>
        <v>4.1100000000000003</v>
      </c>
      <c r="IL29" s="90">
        <f t="shared" si="132"/>
        <v>887.76</v>
      </c>
      <c r="IM29" s="90">
        <f t="shared" si="133"/>
        <v>4.1100000000000003</v>
      </c>
      <c r="IN29" s="90">
        <f t="shared" si="134"/>
        <v>887.76</v>
      </c>
      <c r="IO29" s="90">
        <f t="shared" si="135"/>
        <v>4.1100000000000003</v>
      </c>
      <c r="IP29" s="93">
        <v>0.37052404126999999</v>
      </c>
      <c r="IQ29" s="90">
        <f t="shared" si="136"/>
        <v>64.026554331455998</v>
      </c>
      <c r="IR29" s="90">
        <f t="shared" si="137"/>
        <v>67.868147591343359</v>
      </c>
      <c r="IS29" s="90">
        <v>108693.96</v>
      </c>
      <c r="IT29" s="90">
        <v>3053.33</v>
      </c>
      <c r="IU29" s="94"/>
      <c r="IV29" s="94"/>
      <c r="IW29" s="94">
        <v>1.6976249999999999</v>
      </c>
      <c r="IX29" s="90">
        <f t="shared" si="138"/>
        <v>293.34960000000001</v>
      </c>
      <c r="IY29" s="93">
        <v>0.56339614052999998</v>
      </c>
      <c r="IZ29" s="90">
        <f t="shared" si="139"/>
        <v>121.69356635448</v>
      </c>
      <c r="JA29" s="90">
        <f t="shared" si="140"/>
        <v>127.53</v>
      </c>
      <c r="JB29" s="90">
        <f t="shared" si="532"/>
        <v>133.75495016611296</v>
      </c>
      <c r="JC29" s="90">
        <f t="shared" si="141"/>
        <v>134.54</v>
      </c>
      <c r="JD29" s="90">
        <f t="shared" si="142"/>
        <v>142.20263122923592</v>
      </c>
      <c r="JE29" s="90">
        <f t="shared" si="143"/>
        <v>142.20263122923592</v>
      </c>
      <c r="JF29" s="93">
        <v>4.2278943710000003E-2</v>
      </c>
      <c r="JG29" s="90">
        <f t="shared" si="144"/>
        <v>7.3058014730880005</v>
      </c>
      <c r="JH29" s="90">
        <f t="shared" si="145"/>
        <v>7.7441495614732814</v>
      </c>
      <c r="JI29" s="20">
        <v>462.98</v>
      </c>
      <c r="JJ29" s="20"/>
      <c r="JK29" s="20">
        <v>6.0624999999999998E-2</v>
      </c>
      <c r="JL29" s="90">
        <f t="shared" si="146"/>
        <v>10.476000000000001</v>
      </c>
      <c r="JM29" s="93">
        <v>6.7347080040000007E-2</v>
      </c>
      <c r="JN29" s="90">
        <f t="shared" si="147"/>
        <v>14.546969288640001</v>
      </c>
      <c r="JO29" s="90">
        <f t="shared" si="148"/>
        <v>15.25</v>
      </c>
      <c r="JP29" s="90">
        <f t="shared" si="533"/>
        <v>15.994377715307948</v>
      </c>
      <c r="JQ29" s="90">
        <f t="shared" si="149"/>
        <v>16.09</v>
      </c>
      <c r="JR29" s="90">
        <f t="shared" si="150"/>
        <v>17.004548939432663</v>
      </c>
      <c r="JS29" s="90">
        <f t="shared" si="151"/>
        <v>17.004548939432663</v>
      </c>
      <c r="JT29" s="93">
        <v>7.3220517000000002E-3</v>
      </c>
      <c r="JU29" s="90">
        <f t="shared" si="152"/>
        <v>1.2652505337600002</v>
      </c>
      <c r="JV29" s="90">
        <f t="shared" si="153"/>
        <v>1.33</v>
      </c>
      <c r="JW29" s="90">
        <f t="shared" si="534"/>
        <v>1.3949194991055458</v>
      </c>
      <c r="JX29" s="90">
        <f t="shared" si="154"/>
        <v>1.4</v>
      </c>
      <c r="JY29" s="90">
        <f t="shared" si="155"/>
        <v>1.4830196779964226</v>
      </c>
      <c r="JZ29" s="90">
        <f t="shared" si="156"/>
        <v>1.4830196779964226</v>
      </c>
      <c r="KA29" s="90">
        <v>8.3090999999999998E-3</v>
      </c>
      <c r="KB29" s="90">
        <f t="shared" si="157"/>
        <v>1.4358124800000001</v>
      </c>
      <c r="KC29" s="90" t="e">
        <f>KB29*#REF!</f>
        <v>#REF!</v>
      </c>
      <c r="KD29" s="90">
        <v>34406.519999999997</v>
      </c>
      <c r="KE29" s="90">
        <v>40292.97</v>
      </c>
      <c r="KF29" s="90"/>
      <c r="KG29" s="90">
        <f>I29/KD29*KE29</f>
        <v>252.95442607970818</v>
      </c>
      <c r="KH29" s="90" t="e">
        <f>KG29/(BW29+#REF!)*(CB29+#REF!)</f>
        <v>#REF!</v>
      </c>
      <c r="KI29" s="90">
        <v>0.8</v>
      </c>
      <c r="KJ29" s="94"/>
      <c r="KK29" s="90">
        <f t="shared" si="159"/>
        <v>0</v>
      </c>
      <c r="KL29" s="93">
        <v>1.2690177</v>
      </c>
      <c r="KM29" s="90">
        <f t="shared" si="160"/>
        <v>274.10782319999998</v>
      </c>
      <c r="KN29" s="90">
        <f t="shared" si="161"/>
        <v>290.55429259200002</v>
      </c>
      <c r="KO29" s="90" t="e">
        <f>BW29+CN29+DC29+DS29+EG29+EV29+FK29+GB29+#REF!+#REF!+HJ29+HX29+IQ29+JG29+JU29+KK29+KM29</f>
        <v>#REF!</v>
      </c>
      <c r="KP29" s="90"/>
      <c r="KQ29" s="90">
        <v>0.50815001599999998</v>
      </c>
      <c r="KR29" s="90">
        <f t="shared" si="514"/>
        <v>109.76040345599999</v>
      </c>
      <c r="KS29" s="90">
        <v>0.71072749999999996</v>
      </c>
      <c r="KT29" s="90">
        <f t="shared" si="163"/>
        <v>78.009737147274222</v>
      </c>
      <c r="KU29" s="90">
        <f t="shared" si="164"/>
        <v>117.95101033165899</v>
      </c>
      <c r="KV29" s="90">
        <f t="shared" si="165"/>
        <v>123.61</v>
      </c>
      <c r="KW29" s="90">
        <f t="shared" si="535"/>
        <v>129.64360848453873</v>
      </c>
      <c r="KX29" s="90">
        <f t="shared" si="166"/>
        <v>130.41</v>
      </c>
      <c r="KY29" s="90">
        <f t="shared" si="167"/>
        <v>137.83162586250961</v>
      </c>
      <c r="KZ29" s="90">
        <f t="shared" si="168"/>
        <v>137.83162586250961</v>
      </c>
      <c r="LA29" s="90">
        <f t="shared" si="169"/>
        <v>846.71999999999991</v>
      </c>
      <c r="LB29" s="90">
        <f t="shared" si="170"/>
        <v>3.92</v>
      </c>
      <c r="LC29" s="92">
        <f t="shared" si="171"/>
        <v>10160.64</v>
      </c>
      <c r="LD29" s="92">
        <v>4.21</v>
      </c>
      <c r="LE29" s="92">
        <v>909.36000000000013</v>
      </c>
      <c r="LF29" s="90">
        <f t="shared" si="172"/>
        <v>4.18</v>
      </c>
      <c r="LG29" s="90">
        <f t="shared" si="173"/>
        <v>902.88</v>
      </c>
      <c r="LH29" s="90">
        <f t="shared" si="174"/>
        <v>910.22399999999982</v>
      </c>
      <c r="LI29" s="90">
        <f t="shared" si="175"/>
        <v>4.21</v>
      </c>
      <c r="LJ29" s="90">
        <f t="shared" si="176"/>
        <v>902.88000000000011</v>
      </c>
      <c r="LK29" s="90">
        <f t="shared" si="177"/>
        <v>4.18</v>
      </c>
      <c r="LL29" s="90">
        <f t="shared" si="178"/>
        <v>902.88000000000011</v>
      </c>
      <c r="LM29" s="90">
        <f t="shared" si="179"/>
        <v>4.18</v>
      </c>
      <c r="LN29" s="95">
        <v>0.46</v>
      </c>
      <c r="LO29" s="95">
        <f t="shared" si="180"/>
        <v>99.36</v>
      </c>
      <c r="LP29" s="95"/>
      <c r="LQ29" s="95">
        <f t="shared" si="181"/>
        <v>0</v>
      </c>
      <c r="LR29" s="90"/>
      <c r="LS29" s="90"/>
      <c r="LT29" s="90">
        <f t="shared" si="182"/>
        <v>0</v>
      </c>
      <c r="LU29" s="90"/>
      <c r="LV29" s="90">
        <f t="shared" si="183"/>
        <v>0</v>
      </c>
      <c r="LW29" s="90">
        <f t="shared" si="184"/>
        <v>0</v>
      </c>
      <c r="LX29" s="90"/>
      <c r="LY29" s="90"/>
      <c r="LZ29" s="90">
        <f t="shared" si="185"/>
        <v>0</v>
      </c>
      <c r="MA29" s="90"/>
      <c r="MB29" s="90">
        <f t="shared" si="186"/>
        <v>0</v>
      </c>
      <c r="MC29" s="90">
        <f t="shared" si="187"/>
        <v>0</v>
      </c>
      <c r="MD29" s="90"/>
      <c r="ME29" s="90"/>
      <c r="MF29" s="90">
        <f t="shared" si="188"/>
        <v>0</v>
      </c>
      <c r="MG29" s="90"/>
      <c r="MH29" s="90">
        <f t="shared" si="189"/>
        <v>0</v>
      </c>
      <c r="MI29" s="90">
        <f t="shared" si="190"/>
        <v>0</v>
      </c>
      <c r="MJ29" s="90"/>
      <c r="MK29" s="90"/>
      <c r="ML29" s="90">
        <f t="shared" si="191"/>
        <v>0</v>
      </c>
      <c r="MM29" s="90"/>
      <c r="MN29" s="90">
        <f t="shared" si="192"/>
        <v>0</v>
      </c>
      <c r="MO29" s="90">
        <f t="shared" si="193"/>
        <v>0</v>
      </c>
      <c r="MP29" s="90">
        <f t="shared" si="194"/>
        <v>0</v>
      </c>
      <c r="MQ29" s="90">
        <f t="shared" si="195"/>
        <v>0</v>
      </c>
      <c r="MR29" s="90">
        <f t="shared" si="196"/>
        <v>0</v>
      </c>
      <c r="MS29" s="90">
        <f t="shared" si="197"/>
        <v>0</v>
      </c>
      <c r="MT29" s="95"/>
      <c r="MU29" s="95">
        <f t="shared" si="198"/>
        <v>0</v>
      </c>
      <c r="MV29" s="92">
        <f t="shared" si="199"/>
        <v>0</v>
      </c>
      <c r="MW29" s="95"/>
      <c r="MX29" s="95">
        <f t="shared" si="200"/>
        <v>0</v>
      </c>
      <c r="MY29" s="95"/>
      <c r="MZ29" s="95">
        <f t="shared" si="201"/>
        <v>0</v>
      </c>
      <c r="NA29" s="95"/>
      <c r="NB29" s="95">
        <f t="shared" si="202"/>
        <v>0</v>
      </c>
      <c r="NC29" s="92">
        <f t="shared" si="203"/>
        <v>0</v>
      </c>
      <c r="ND29" s="95"/>
      <c r="NE29" s="95">
        <f t="shared" si="204"/>
        <v>0</v>
      </c>
      <c r="NF29" s="95"/>
      <c r="NG29" s="95">
        <f t="shared" si="205"/>
        <v>0</v>
      </c>
      <c r="NH29" s="95"/>
      <c r="NI29" s="95"/>
      <c r="NJ29" s="95">
        <f t="shared" si="206"/>
        <v>0</v>
      </c>
      <c r="NK29" s="92">
        <f t="shared" si="207"/>
        <v>0</v>
      </c>
      <c r="NL29" s="95"/>
      <c r="NM29" s="95">
        <f t="shared" si="208"/>
        <v>0</v>
      </c>
      <c r="NN29" s="95"/>
      <c r="NO29" s="95">
        <f t="shared" si="209"/>
        <v>0</v>
      </c>
      <c r="NP29" s="95"/>
      <c r="NQ29" s="95">
        <f t="shared" si="210"/>
        <v>0</v>
      </c>
      <c r="NR29" s="92">
        <f t="shared" si="211"/>
        <v>0</v>
      </c>
      <c r="NS29" s="95"/>
      <c r="NT29" s="95">
        <f t="shared" si="212"/>
        <v>0</v>
      </c>
      <c r="NU29" s="95"/>
      <c r="NV29" s="95">
        <f t="shared" si="213"/>
        <v>0</v>
      </c>
      <c r="NW29" s="95"/>
      <c r="NX29" s="95">
        <f t="shared" si="214"/>
        <v>0</v>
      </c>
      <c r="NY29" s="92">
        <f t="shared" si="215"/>
        <v>0</v>
      </c>
      <c r="NZ29" s="95"/>
      <c r="OA29" s="95">
        <f t="shared" si="216"/>
        <v>0</v>
      </c>
      <c r="OB29" s="95"/>
      <c r="OC29" s="95">
        <f t="shared" si="217"/>
        <v>0</v>
      </c>
      <c r="OD29" s="90">
        <v>1367.28</v>
      </c>
      <c r="OE29" s="90">
        <f t="shared" si="218"/>
        <v>6.33</v>
      </c>
      <c r="OF29" s="92">
        <f t="shared" si="219"/>
        <v>16407.36</v>
      </c>
      <c r="OG29" s="96">
        <v>201.47</v>
      </c>
      <c r="OH29" s="96">
        <v>0.93</v>
      </c>
      <c r="OI29" s="90">
        <v>1568.16</v>
      </c>
      <c r="OJ29" s="90">
        <f t="shared" si="220"/>
        <v>7.26</v>
      </c>
      <c r="OK29" s="90">
        <f t="shared" si="221"/>
        <v>1568.75</v>
      </c>
      <c r="OL29" s="90">
        <f t="shared" si="222"/>
        <v>7.26</v>
      </c>
      <c r="OM29" s="90">
        <f t="shared" si="223"/>
        <v>0</v>
      </c>
      <c r="ON29" s="90">
        <v>1367.28</v>
      </c>
      <c r="OO29" s="90">
        <f t="shared" si="224"/>
        <v>6.33</v>
      </c>
      <c r="OP29" s="90">
        <v>1366.69</v>
      </c>
      <c r="OQ29" s="90">
        <v>6.33</v>
      </c>
      <c r="OR29" s="90">
        <f t="shared" si="225"/>
        <v>0</v>
      </c>
      <c r="OS29" s="90">
        <f t="shared" si="226"/>
        <v>6.33</v>
      </c>
      <c r="OT29" s="90">
        <v>1367.28</v>
      </c>
      <c r="OU29" s="90">
        <f t="shared" si="227"/>
        <v>6.33</v>
      </c>
      <c r="OV29" s="97">
        <v>1151.28</v>
      </c>
      <c r="OW29" s="90">
        <f t="shared" si="228"/>
        <v>1373.76</v>
      </c>
      <c r="OX29" s="90">
        <f t="shared" si="229"/>
        <v>6.36</v>
      </c>
      <c r="OY29" s="90">
        <f>OU29-1+1.03</f>
        <v>6.36</v>
      </c>
      <c r="OZ29" s="90"/>
      <c r="PA29" s="90"/>
      <c r="PB29" s="95">
        <f t="shared" si="230"/>
        <v>0</v>
      </c>
      <c r="PC29" s="92">
        <f t="shared" si="231"/>
        <v>0</v>
      </c>
      <c r="PD29" s="90"/>
      <c r="PE29" s="95">
        <f t="shared" si="232"/>
        <v>0</v>
      </c>
      <c r="PF29" s="90">
        <f t="shared" si="233"/>
        <v>3201.71</v>
      </c>
      <c r="PG29" s="90">
        <f t="shared" si="234"/>
        <v>14.82</v>
      </c>
      <c r="PH29" s="90">
        <f t="shared" si="235"/>
        <v>3682.1400000000003</v>
      </c>
      <c r="PI29" s="90">
        <f t="shared" si="236"/>
        <v>17.05</v>
      </c>
      <c r="PJ29" s="90">
        <f t="shared" si="237"/>
        <v>3682.1400000000003</v>
      </c>
      <c r="PK29" s="90">
        <f t="shared" si="238"/>
        <v>17.05</v>
      </c>
      <c r="PL29" s="90"/>
      <c r="PM29" s="90">
        <f t="shared" si="239"/>
        <v>96.05</v>
      </c>
      <c r="PN29" s="90">
        <f t="shared" si="240"/>
        <v>0.44</v>
      </c>
      <c r="PO29" s="92">
        <f t="shared" si="241"/>
        <v>1152.5999999999999</v>
      </c>
      <c r="PP29" s="90">
        <f t="shared" si="242"/>
        <v>110.46</v>
      </c>
      <c r="PQ29" s="90">
        <f t="shared" si="243"/>
        <v>0.51</v>
      </c>
      <c r="PR29" s="90">
        <f t="shared" si="244"/>
        <v>110.46</v>
      </c>
      <c r="PS29" s="90">
        <f t="shared" si="245"/>
        <v>0.51</v>
      </c>
      <c r="PT29" s="90">
        <f t="shared" si="246"/>
        <v>3297.76</v>
      </c>
      <c r="PU29" s="90">
        <f t="shared" si="247"/>
        <v>15.27</v>
      </c>
      <c r="PV29" s="90">
        <f t="shared" si="248"/>
        <v>3792.6000000000004</v>
      </c>
      <c r="PW29" s="90">
        <f t="shared" si="249"/>
        <v>17.559999999999999</v>
      </c>
      <c r="PX29" s="90">
        <f t="shared" si="250"/>
        <v>3792.6000000000004</v>
      </c>
      <c r="PY29" s="90">
        <f t="shared" si="251"/>
        <v>17.559999999999999</v>
      </c>
      <c r="PZ29" s="90">
        <f t="shared" si="252"/>
        <v>33.31</v>
      </c>
      <c r="QA29" s="90">
        <f t="shared" si="253"/>
        <v>0.15</v>
      </c>
      <c r="QB29" s="92">
        <f t="shared" si="254"/>
        <v>399.72</v>
      </c>
      <c r="QC29" s="90">
        <f t="shared" si="255"/>
        <v>38.31</v>
      </c>
      <c r="QD29" s="90">
        <f t="shared" si="256"/>
        <v>0.18</v>
      </c>
      <c r="QE29" s="90">
        <f t="shared" si="257"/>
        <v>38.31</v>
      </c>
      <c r="QF29" s="90">
        <f t="shared" si="258"/>
        <v>0.18</v>
      </c>
      <c r="QG29" s="90">
        <f t="shared" si="259"/>
        <v>3331.07</v>
      </c>
      <c r="QH29" s="90">
        <f t="shared" si="260"/>
        <v>15.42</v>
      </c>
      <c r="QI29" s="92">
        <f t="shared" si="261"/>
        <v>39972.840000000004</v>
      </c>
      <c r="QJ29" s="90">
        <f t="shared" si="262"/>
        <v>145.06360848453872</v>
      </c>
      <c r="QK29" s="98">
        <f t="shared" si="263"/>
        <v>0.21869999999999998</v>
      </c>
      <c r="QL29" s="90">
        <f t="shared" si="264"/>
        <v>47.239199999999997</v>
      </c>
      <c r="QM29" s="90">
        <f t="shared" si="265"/>
        <v>0.14579999999999999</v>
      </c>
      <c r="QN29" s="90">
        <f t="shared" si="266"/>
        <v>31.492799999999995</v>
      </c>
      <c r="QO29" s="90">
        <v>0.21869999999999998</v>
      </c>
      <c r="QP29" s="90">
        <v>0.14579999999999999</v>
      </c>
      <c r="QQ29" s="97">
        <f t="shared" si="267"/>
        <v>78.731999999999999</v>
      </c>
      <c r="QR29" s="97">
        <v>78.731999999999999</v>
      </c>
      <c r="QS29" s="97">
        <f t="shared" si="268"/>
        <v>0</v>
      </c>
      <c r="QT29" s="90"/>
      <c r="QU29" s="90">
        <f t="shared" si="269"/>
        <v>0.14579999999999999</v>
      </c>
      <c r="QV29" s="90">
        <f t="shared" si="270"/>
        <v>31.492799999999995</v>
      </c>
      <c r="QW29" s="90">
        <f t="shared" si="271"/>
        <v>78.731999999999999</v>
      </c>
      <c r="QX29" s="90">
        <f t="shared" si="272"/>
        <v>0.36449999999999999</v>
      </c>
      <c r="QY29" s="90"/>
      <c r="QZ29" s="90"/>
      <c r="RA29" s="90"/>
      <c r="RB29" s="90">
        <v>804.26</v>
      </c>
      <c r="RC29" s="97">
        <f t="shared" si="273"/>
        <v>3331.07</v>
      </c>
      <c r="RD29" s="97">
        <f t="shared" si="274"/>
        <v>15.42</v>
      </c>
      <c r="RE29" s="90">
        <f t="shared" si="275"/>
        <v>3830.9100000000003</v>
      </c>
      <c r="RF29" s="90">
        <f t="shared" si="276"/>
        <v>17.739999999999998</v>
      </c>
      <c r="RG29" s="90">
        <f t="shared" si="277"/>
        <v>115.12005191434132</v>
      </c>
      <c r="RH29" s="90">
        <f t="shared" si="278"/>
        <v>3830.9100000000003</v>
      </c>
      <c r="RI29" s="90">
        <f t="shared" si="279"/>
        <v>17.739999999999998</v>
      </c>
      <c r="RJ29" s="90">
        <v>16.669999999999998</v>
      </c>
      <c r="RK29" s="90">
        <v>0</v>
      </c>
      <c r="RL29" s="90">
        <f t="shared" si="280"/>
        <v>1.0700000000000003</v>
      </c>
      <c r="RM29" s="90">
        <f t="shared" si="281"/>
        <v>110.87500000000001</v>
      </c>
      <c r="RN29" s="90">
        <f t="shared" si="282"/>
        <v>2011.23</v>
      </c>
      <c r="RO29" s="90"/>
      <c r="RP29" s="90"/>
      <c r="RQ29" s="99">
        <v>625</v>
      </c>
      <c r="RR29" s="90">
        <f t="shared" si="283"/>
        <v>1963.7899999999997</v>
      </c>
      <c r="RS29" s="90">
        <f t="shared" si="284"/>
        <v>9.0916203703703697</v>
      </c>
      <c r="RT29" s="90">
        <f>11.28+3.3</f>
        <v>14.579999999999998</v>
      </c>
      <c r="RU29" s="90">
        <f t="shared" si="285"/>
        <v>3149.2799999999997</v>
      </c>
      <c r="RV29" s="90">
        <f t="shared" si="286"/>
        <v>0.67159078002101258</v>
      </c>
      <c r="RW29" s="90">
        <v>10.43</v>
      </c>
      <c r="RX29" s="90">
        <f t="shared" si="287"/>
        <v>10.951499999999999</v>
      </c>
      <c r="RY29" s="90">
        <f t="shared" si="288"/>
        <v>2365.5239999999999</v>
      </c>
      <c r="RZ29" s="90">
        <f t="shared" si="289"/>
        <v>624.33545207759414</v>
      </c>
      <c r="SA29" s="90">
        <f t="shared" si="290"/>
        <v>279.46966590071406</v>
      </c>
      <c r="SB29" s="90">
        <f t="shared" si="291"/>
        <v>422.55916575911976</v>
      </c>
      <c r="SC29" s="90">
        <f t="shared" si="292"/>
        <v>767.42495193599984</v>
      </c>
      <c r="SD29" s="90">
        <f t="shared" si="293"/>
        <v>767.42495193599984</v>
      </c>
      <c r="SE29" s="90">
        <f t="shared" si="294"/>
        <v>778.95675371197387</v>
      </c>
      <c r="SF29" s="90">
        <f t="shared" si="295"/>
        <v>767.61727920989006</v>
      </c>
      <c r="SG29" s="90">
        <f t="shared" si="296"/>
        <v>-0.1923272738902142</v>
      </c>
      <c r="SH29" s="90">
        <f t="shared" si="297"/>
        <v>767.42495193599984</v>
      </c>
      <c r="SI29" s="90">
        <f t="shared" si="298"/>
        <v>3.5528932959999993</v>
      </c>
      <c r="SJ29" s="90">
        <f t="shared" si="299"/>
        <v>3.5537837000457873</v>
      </c>
      <c r="SK29" s="90"/>
      <c r="SL29" s="90"/>
      <c r="SM29" s="90"/>
      <c r="SN29" s="90">
        <f t="shared" si="300"/>
        <v>821.56</v>
      </c>
      <c r="SO29" s="90" t="e">
        <f>RU29-#REF!-#REF!-HZ29-LT29-LZ29-MF29-ML29-QL29-QN29-SD29</f>
        <v>#REF!</v>
      </c>
      <c r="SP29" s="90">
        <f t="shared" si="301"/>
        <v>804.26</v>
      </c>
      <c r="SQ29" s="90">
        <f t="shared" si="302"/>
        <v>846.71999999999991</v>
      </c>
      <c r="SR29" s="90">
        <f t="shared" si="303"/>
        <v>3.7234259259259259</v>
      </c>
      <c r="SS29" s="90">
        <f t="shared" si="304"/>
        <v>3.9199999999999995</v>
      </c>
      <c r="ST29" s="90">
        <f t="shared" si="305"/>
        <v>850.32999999999993</v>
      </c>
      <c r="SU29" s="90">
        <v>3.7234259259259259</v>
      </c>
      <c r="SV29" s="90">
        <f t="shared" si="306"/>
        <v>3.94</v>
      </c>
      <c r="SW29" s="90">
        <v>3.92</v>
      </c>
      <c r="SX29" s="90">
        <f t="shared" si="307"/>
        <v>846.72</v>
      </c>
      <c r="SY29" s="90">
        <v>3.7234259259259259</v>
      </c>
      <c r="SZ29" s="90">
        <f t="shared" si="308"/>
        <v>804.26</v>
      </c>
      <c r="TA29" s="90">
        <f t="shared" si="309"/>
        <v>0</v>
      </c>
      <c r="TB29" s="90">
        <v>0</v>
      </c>
      <c r="TC29" s="90">
        <f t="shared" si="310"/>
        <v>1319.6179999999997</v>
      </c>
      <c r="TD29" s="90" t="e">
        <f>#REF!+#REF!</f>
        <v>#REF!</v>
      </c>
      <c r="TE29" s="90" t="e">
        <f t="shared" si="311"/>
        <v>#REF!</v>
      </c>
      <c r="TF29" s="90">
        <v>1323.7779999999996</v>
      </c>
      <c r="TG29" s="90">
        <f t="shared" si="312"/>
        <v>41.902212569222165</v>
      </c>
      <c r="TH29" s="95"/>
      <c r="TI29" s="95"/>
      <c r="TJ29" s="95"/>
      <c r="TK29" s="95"/>
      <c r="TL29" s="95"/>
      <c r="TM29" s="95">
        <f t="shared" si="313"/>
        <v>0</v>
      </c>
      <c r="TN29" s="95">
        <f t="shared" si="314"/>
        <v>3149.2799999999997</v>
      </c>
      <c r="TO29" s="95">
        <f t="shared" si="315"/>
        <v>41.902212569222165</v>
      </c>
      <c r="TP29" s="95"/>
      <c r="TQ29" s="95">
        <f t="shared" si="316"/>
        <v>14.579999999999998</v>
      </c>
      <c r="TR29" s="95"/>
      <c r="TS29" s="95"/>
      <c r="TT29" s="95"/>
      <c r="TU29" s="95"/>
      <c r="TV29" s="95"/>
      <c r="TW29" s="95"/>
      <c r="TX29" s="95"/>
      <c r="TY29" s="95"/>
      <c r="TZ29" s="95">
        <f t="shared" si="317"/>
        <v>2.5</v>
      </c>
      <c r="UA29" s="95">
        <f t="shared" si="318"/>
        <v>0.64151999999999998</v>
      </c>
      <c r="UB29" s="90">
        <v>0</v>
      </c>
      <c r="UC29" s="90">
        <f t="shared" si="319"/>
        <v>0</v>
      </c>
      <c r="UD29" s="90">
        <f t="shared" si="320"/>
        <v>0</v>
      </c>
      <c r="UE29" s="90">
        <f t="shared" si="321"/>
        <v>0</v>
      </c>
      <c r="UF29" s="90">
        <f t="shared" si="322"/>
        <v>3149.2799999999997</v>
      </c>
      <c r="UG29" s="91">
        <f t="shared" si="323"/>
        <v>0</v>
      </c>
      <c r="UH29" s="95">
        <f t="shared" si="324"/>
        <v>41.902212569222165</v>
      </c>
      <c r="UI29" s="95">
        <f t="shared" si="325"/>
        <v>3149.2799999999997</v>
      </c>
      <c r="UJ29" s="101">
        <f t="shared" si="326"/>
        <v>0</v>
      </c>
      <c r="UK29" s="101">
        <f t="shared" si="327"/>
        <v>41.902212569222165</v>
      </c>
      <c r="UL29" s="90" t="e">
        <f>(#REF!+#REF!+HZ29+LT29+LZ29+MF29+ML29+QL29+QN29+SN29+TC29+TM29+UC29)/I29</f>
        <v>#REF!</v>
      </c>
      <c r="UN29" s="90" t="e">
        <f>#REF!/I29</f>
        <v>#REF!</v>
      </c>
      <c r="UO29" s="90" t="e">
        <f>#REF!/I29</f>
        <v>#REF!</v>
      </c>
      <c r="UP29" s="90">
        <v>1.1499999999999999</v>
      </c>
      <c r="UQ29" s="90" t="e">
        <f t="shared" si="328"/>
        <v>#REF!</v>
      </c>
      <c r="UR29" s="90">
        <f t="shared" si="329"/>
        <v>1963.7899999999997</v>
      </c>
      <c r="US29" s="90">
        <f t="shared" si="330"/>
        <v>2357.79</v>
      </c>
      <c r="UT29" s="90">
        <f t="shared" si="331"/>
        <v>2357.79</v>
      </c>
      <c r="UU29" s="90">
        <f t="shared" si="516"/>
        <v>2457.15</v>
      </c>
      <c r="UV29" s="90">
        <f t="shared" si="333"/>
        <v>2357.79</v>
      </c>
      <c r="UW29" s="90">
        <f t="shared" si="334"/>
        <v>4.8499999999999996</v>
      </c>
      <c r="UX29" s="90">
        <f t="shared" si="335"/>
        <v>3.92</v>
      </c>
      <c r="UY29" s="90">
        <f t="shared" si="336"/>
        <v>3.8035185185185183</v>
      </c>
      <c r="UZ29" s="100">
        <f t="shared" si="337"/>
        <v>3.5528932959999993</v>
      </c>
      <c r="VA29" s="90">
        <f t="shared" si="338"/>
        <v>0</v>
      </c>
      <c r="VB29" s="90">
        <f t="shared" si="339"/>
        <v>0.93</v>
      </c>
      <c r="VC29" s="90">
        <f t="shared" si="340"/>
        <v>0</v>
      </c>
      <c r="VD29" s="90">
        <f t="shared" si="341"/>
        <v>0</v>
      </c>
      <c r="VE29" s="90">
        <f t="shared" si="342"/>
        <v>0</v>
      </c>
      <c r="VF29" s="90">
        <f t="shared" si="343"/>
        <v>0</v>
      </c>
      <c r="VG29" s="90">
        <f t="shared" si="344"/>
        <v>0</v>
      </c>
      <c r="VH29" s="90">
        <f t="shared" si="345"/>
        <v>0</v>
      </c>
      <c r="VI29" s="90">
        <f t="shared" si="346"/>
        <v>0</v>
      </c>
      <c r="VJ29" s="90">
        <f t="shared" si="347"/>
        <v>0</v>
      </c>
      <c r="VK29" s="90">
        <f t="shared" si="348"/>
        <v>0.82</v>
      </c>
      <c r="VL29" s="90">
        <f t="shared" si="349"/>
        <v>3.64</v>
      </c>
      <c r="VM29" s="90">
        <f t="shared" si="350"/>
        <v>6.33</v>
      </c>
      <c r="VN29" s="90">
        <f t="shared" si="351"/>
        <v>0</v>
      </c>
      <c r="VO29" s="90">
        <f t="shared" si="352"/>
        <v>6.33</v>
      </c>
      <c r="VP29" s="97">
        <v>0</v>
      </c>
      <c r="VQ29" s="97">
        <v>6.33</v>
      </c>
      <c r="VR29" s="90">
        <f t="shared" si="353"/>
        <v>0.44</v>
      </c>
      <c r="VS29" s="90">
        <f t="shared" si="354"/>
        <v>0.15</v>
      </c>
      <c r="VT29" s="90">
        <v>0.11989898989898991</v>
      </c>
      <c r="VU29" s="90">
        <f t="shared" si="355"/>
        <v>0.15410000000000001</v>
      </c>
      <c r="VV29" s="90">
        <v>0.38175323599898991</v>
      </c>
      <c r="VW29" s="90">
        <f t="shared" si="356"/>
        <v>0.59</v>
      </c>
      <c r="VX29" s="90">
        <f t="shared" si="357"/>
        <v>15.41</v>
      </c>
      <c r="VY29" s="90">
        <f t="shared" si="358"/>
        <v>15.41</v>
      </c>
      <c r="VZ29" s="90">
        <f t="shared" si="359"/>
        <v>0</v>
      </c>
      <c r="WA29" s="90"/>
      <c r="WB29" s="90">
        <f t="shared" si="360"/>
        <v>15.41</v>
      </c>
      <c r="WC29" s="90">
        <f t="shared" si="361"/>
        <v>0</v>
      </c>
      <c r="WD29" s="90"/>
      <c r="WE29" s="90">
        <v>15.41</v>
      </c>
      <c r="WF29" s="90"/>
      <c r="WG29" s="90">
        <f t="shared" si="362"/>
        <v>3328.56</v>
      </c>
      <c r="WH29" s="90">
        <f t="shared" si="363"/>
        <v>3328.56</v>
      </c>
      <c r="WI29" s="90">
        <f t="shared" si="364"/>
        <v>3331.07</v>
      </c>
      <c r="WJ29" s="90">
        <f t="shared" si="365"/>
        <v>1963.7899999999997</v>
      </c>
      <c r="WK29" s="97">
        <v>1367.28</v>
      </c>
      <c r="WL29" s="97">
        <v>6.33</v>
      </c>
      <c r="WM29" s="90">
        <f t="shared" si="366"/>
        <v>1367.28</v>
      </c>
      <c r="WN29" s="90">
        <f t="shared" si="367"/>
        <v>6.33</v>
      </c>
      <c r="WO29" s="90"/>
      <c r="WP29" s="97">
        <v>15.41</v>
      </c>
      <c r="WQ29" s="90">
        <f t="shared" si="368"/>
        <v>15.41</v>
      </c>
      <c r="WR29" s="91">
        <f t="shared" si="369"/>
        <v>105.69272976680386</v>
      </c>
      <c r="WS29" s="91">
        <f t="shared" si="370"/>
        <v>136.61347517730499</v>
      </c>
      <c r="WT29" s="90">
        <f t="shared" si="371"/>
        <v>3328.56</v>
      </c>
      <c r="WU29" s="90">
        <f t="shared" si="372"/>
        <v>3331.07</v>
      </c>
      <c r="WV29" s="90">
        <f t="shared" si="373"/>
        <v>-2.5100000000002183</v>
      </c>
      <c r="WW29" s="90">
        <v>3.3</v>
      </c>
      <c r="WX29" s="90"/>
      <c r="WY29" s="90"/>
      <c r="WZ29" s="90">
        <f t="shared" si="374"/>
        <v>6.3020434343434344</v>
      </c>
      <c r="XA29" s="90">
        <v>0</v>
      </c>
      <c r="XB29" s="90">
        <f t="shared" si="375"/>
        <v>6.3020434343434344</v>
      </c>
      <c r="XC29" s="90">
        <f t="shared" si="376"/>
        <v>0.46229999999999999</v>
      </c>
      <c r="XD29" s="90">
        <f t="shared" si="377"/>
        <v>0.15565656565656566</v>
      </c>
      <c r="XE29" s="90"/>
      <c r="XF29" s="90">
        <f t="shared" si="378"/>
        <v>15.41</v>
      </c>
      <c r="XG29" s="90">
        <v>6.1286018518518501</v>
      </c>
      <c r="XH29" s="20">
        <v>14.579999999999998</v>
      </c>
      <c r="XI29" s="20">
        <v>0</v>
      </c>
      <c r="XJ29" s="20"/>
      <c r="XK29" s="20"/>
      <c r="XL29" s="20"/>
      <c r="XM29" s="20">
        <f t="shared" si="379"/>
        <v>14.579999999999998</v>
      </c>
      <c r="XN29" s="91">
        <f t="shared" si="380"/>
        <v>105.69272976680386</v>
      </c>
      <c r="XO29" s="20">
        <f t="shared" si="381"/>
        <v>14.579999999999998</v>
      </c>
      <c r="XP29" s="90">
        <f t="shared" si="382"/>
        <v>11.279999999999998</v>
      </c>
      <c r="XQ29" s="91">
        <f t="shared" si="383"/>
        <v>105.69272976680386</v>
      </c>
      <c r="XR29" s="102"/>
      <c r="XS29" s="90">
        <f t="shared" si="384"/>
        <v>3.64</v>
      </c>
      <c r="XT29" s="90">
        <f t="shared" si="385"/>
        <v>4.8499999999999996</v>
      </c>
      <c r="XU29" s="90">
        <f t="shared" si="386"/>
        <v>3.92</v>
      </c>
      <c r="XV29" s="90">
        <f t="shared" si="387"/>
        <v>0</v>
      </c>
      <c r="XW29" s="90">
        <f t="shared" si="388"/>
        <v>0</v>
      </c>
      <c r="XX29" s="90">
        <f t="shared" si="389"/>
        <v>0</v>
      </c>
      <c r="XY29" s="90">
        <f t="shared" si="390"/>
        <v>0.93</v>
      </c>
      <c r="XZ29" s="90">
        <f t="shared" si="391"/>
        <v>0</v>
      </c>
      <c r="YA29" s="90">
        <f t="shared" si="392"/>
        <v>0</v>
      </c>
      <c r="YB29" s="90">
        <f t="shared" si="537"/>
        <v>0</v>
      </c>
      <c r="YC29" s="90">
        <f t="shared" si="537"/>
        <v>0</v>
      </c>
      <c r="YD29" s="90">
        <f t="shared" si="394"/>
        <v>0.93</v>
      </c>
      <c r="YE29" s="90">
        <f t="shared" si="395"/>
        <v>6.33</v>
      </c>
      <c r="YF29" s="90">
        <f t="shared" si="396"/>
        <v>0.59</v>
      </c>
      <c r="YG29" s="90">
        <f t="shared" si="397"/>
        <v>15.41</v>
      </c>
      <c r="YI29" s="103" t="s">
        <v>496</v>
      </c>
      <c r="YK29" s="90">
        <f t="shared" si="398"/>
        <v>1.07</v>
      </c>
      <c r="YL29" s="90">
        <f t="shared" si="538"/>
        <v>0</v>
      </c>
      <c r="YM29" s="90">
        <f t="shared" si="538"/>
        <v>0.93</v>
      </c>
      <c r="YN29" s="90">
        <f t="shared" si="400"/>
        <v>3.64</v>
      </c>
      <c r="YO29" s="90">
        <f t="shared" si="401"/>
        <v>9.77</v>
      </c>
      <c r="YP29" s="90">
        <f t="shared" si="402"/>
        <v>0</v>
      </c>
      <c r="YQ29" s="90">
        <f t="shared" si="403"/>
        <v>15.41</v>
      </c>
      <c r="YR29" s="90">
        <f t="shared" si="404"/>
        <v>0</v>
      </c>
      <c r="YS29" s="104">
        <f t="shared" si="405"/>
        <v>15.41</v>
      </c>
      <c r="YT29" s="104">
        <f t="shared" si="406"/>
        <v>0</v>
      </c>
      <c r="YY29" s="90">
        <f t="shared" si="407"/>
        <v>6.1199999999999992</v>
      </c>
      <c r="YZ29" s="90">
        <f t="shared" si="408"/>
        <v>4.18</v>
      </c>
      <c r="ZA29" s="90">
        <f t="shared" si="409"/>
        <v>0</v>
      </c>
      <c r="ZB29" s="90">
        <f t="shared" si="410"/>
        <v>1.94</v>
      </c>
      <c r="ZC29" s="90">
        <f t="shared" si="411"/>
        <v>0</v>
      </c>
      <c r="ZD29" s="90">
        <f t="shared" si="412"/>
        <v>0</v>
      </c>
      <c r="ZE29" s="90">
        <f t="shared" si="413"/>
        <v>0</v>
      </c>
      <c r="ZF29" s="90">
        <f t="shared" si="414"/>
        <v>0</v>
      </c>
      <c r="ZG29" s="90">
        <f t="shared" si="415"/>
        <v>0</v>
      </c>
      <c r="ZH29" s="90">
        <f t="shared" si="416"/>
        <v>0</v>
      </c>
      <c r="ZI29" s="90">
        <f t="shared" si="417"/>
        <v>0</v>
      </c>
      <c r="ZJ29" s="90">
        <f t="shared" si="418"/>
        <v>0</v>
      </c>
      <c r="ZK29" s="90">
        <f t="shared" si="419"/>
        <v>0</v>
      </c>
      <c r="ZL29" s="90">
        <f t="shared" si="420"/>
        <v>0.03</v>
      </c>
      <c r="ZM29" s="90">
        <f t="shared" si="421"/>
        <v>4.1100000000000003</v>
      </c>
      <c r="ZN29" s="90">
        <f t="shared" si="422"/>
        <v>8.3000000000000007</v>
      </c>
      <c r="ZO29" s="90">
        <f t="shared" si="423"/>
        <v>7.26</v>
      </c>
      <c r="ZP29" s="90">
        <f t="shared" si="424"/>
        <v>6.36</v>
      </c>
      <c r="ZQ29" s="90">
        <f t="shared" si="425"/>
        <v>0</v>
      </c>
      <c r="ZR29" s="90">
        <f t="shared" si="426"/>
        <v>6.36</v>
      </c>
      <c r="ZS29" s="97">
        <v>227</v>
      </c>
      <c r="ZT29" s="97">
        <v>230.38</v>
      </c>
      <c r="ZU29" s="90">
        <f t="shared" si="427"/>
        <v>0.51</v>
      </c>
      <c r="ZV29" s="90">
        <f t="shared" si="428"/>
        <v>0.18</v>
      </c>
      <c r="ZW29" s="90">
        <v>0.11989898989898991</v>
      </c>
      <c r="ZX29" s="90">
        <f t="shared" si="429"/>
        <v>0.17280000000000001</v>
      </c>
      <c r="ZY29" s="90">
        <v>0.38175323599898991</v>
      </c>
      <c r="ZZ29" s="90">
        <f t="shared" si="430"/>
        <v>0.69</v>
      </c>
      <c r="AAA29" s="90">
        <f t="shared" si="431"/>
        <v>17.28</v>
      </c>
      <c r="AAB29" s="90">
        <f t="shared" si="432"/>
        <v>17.28</v>
      </c>
      <c r="AAC29" s="90">
        <f t="shared" si="433"/>
        <v>0</v>
      </c>
      <c r="AAD29" s="90"/>
      <c r="AAE29" s="90">
        <f t="shared" si="434"/>
        <v>17.28</v>
      </c>
      <c r="AAF29" s="90">
        <v>15.41</v>
      </c>
      <c r="AAG29" s="90">
        <f t="shared" si="435"/>
        <v>112.13497728747568</v>
      </c>
      <c r="AAH29" s="90">
        <f t="shared" si="436"/>
        <v>0</v>
      </c>
      <c r="AAI29" s="90">
        <v>0</v>
      </c>
      <c r="AAJ29" s="90"/>
      <c r="AAK29" s="1">
        <v>16</v>
      </c>
      <c r="AAL29" s="104">
        <f t="shared" si="437"/>
        <v>1.2800000000000011</v>
      </c>
      <c r="AAM29" s="103" t="s">
        <v>497</v>
      </c>
      <c r="AAN29" s="105">
        <v>6.14</v>
      </c>
      <c r="AAO29" s="90">
        <f t="shared" si="438"/>
        <v>6.5799999999999992</v>
      </c>
      <c r="AAP29" s="90">
        <v>4.21</v>
      </c>
      <c r="AAQ29" s="90">
        <f t="shared" si="439"/>
        <v>4.18</v>
      </c>
      <c r="AAR29" s="90">
        <v>0</v>
      </c>
      <c r="AAS29" s="90">
        <f t="shared" si="440"/>
        <v>0</v>
      </c>
      <c r="AAT29" s="90"/>
      <c r="AAU29" s="90">
        <v>1.93</v>
      </c>
      <c r="AAV29" s="90">
        <f t="shared" si="442"/>
        <v>1.94</v>
      </c>
      <c r="AAW29" s="90">
        <f t="shared" si="443"/>
        <v>100.51813471502591</v>
      </c>
      <c r="AAX29" s="90">
        <f t="shared" si="444"/>
        <v>0.46</v>
      </c>
      <c r="AAY29" s="90">
        <f t="shared" si="445"/>
        <v>0</v>
      </c>
      <c r="AAZ29" s="90">
        <f t="shared" si="446"/>
        <v>0</v>
      </c>
      <c r="ABA29" s="90">
        <f t="shared" si="447"/>
        <v>0</v>
      </c>
      <c r="ABB29" s="90">
        <f t="shared" si="448"/>
        <v>0</v>
      </c>
      <c r="ABC29" s="90">
        <v>0</v>
      </c>
      <c r="ABD29" s="90">
        <f t="shared" si="449"/>
        <v>0</v>
      </c>
      <c r="ABE29" s="90"/>
      <c r="ABF29" s="90">
        <v>0</v>
      </c>
      <c r="ABG29" s="90">
        <f t="shared" si="450"/>
        <v>0</v>
      </c>
      <c r="ABH29" s="90"/>
      <c r="ABI29" s="90">
        <f t="shared" si="451"/>
        <v>0</v>
      </c>
      <c r="ABJ29" s="90">
        <f t="shared" si="452"/>
        <v>0</v>
      </c>
      <c r="ABK29" s="90">
        <v>0</v>
      </c>
      <c r="ABL29" s="90">
        <f t="shared" si="453"/>
        <v>0</v>
      </c>
      <c r="ABM29" s="90">
        <f t="shared" si="454"/>
        <v>0</v>
      </c>
      <c r="ABN29" s="90">
        <f t="shared" si="455"/>
        <v>0.02</v>
      </c>
      <c r="ABO29" s="90">
        <v>3.91</v>
      </c>
      <c r="ABP29" s="90">
        <f t="shared" si="456"/>
        <v>4.1100000000000003</v>
      </c>
      <c r="ABQ29" s="90">
        <f t="shared" si="457"/>
        <v>105.1150895140665</v>
      </c>
      <c r="ABR29" s="90">
        <f t="shared" si="458"/>
        <v>8.3000000000000007</v>
      </c>
      <c r="ABS29" s="90">
        <f t="shared" si="459"/>
        <v>7.26</v>
      </c>
      <c r="ABT29" s="90">
        <v>5.33</v>
      </c>
      <c r="ABU29" s="90">
        <f t="shared" si="460"/>
        <v>6.36</v>
      </c>
      <c r="ABV29" s="90">
        <f t="shared" si="461"/>
        <v>119.32457786116323</v>
      </c>
      <c r="ABW29" s="90">
        <f t="shared" si="462"/>
        <v>0.01</v>
      </c>
      <c r="ABX29" s="90">
        <f t="shared" si="463"/>
        <v>6.37</v>
      </c>
      <c r="ABY29" s="97">
        <v>227</v>
      </c>
      <c r="ABZ29" s="97">
        <v>230.38</v>
      </c>
      <c r="ACA29" s="90">
        <f t="shared" si="464"/>
        <v>0.51</v>
      </c>
      <c r="ACB29" s="90">
        <f t="shared" si="465"/>
        <v>0.18</v>
      </c>
      <c r="ACC29" s="90">
        <v>0.11989898989898991</v>
      </c>
      <c r="ACD29" s="90">
        <f t="shared" si="466"/>
        <v>0.17290000000000003</v>
      </c>
      <c r="ACE29" s="90">
        <v>0.38175323599898991</v>
      </c>
      <c r="ACF29" s="90">
        <v>0.62</v>
      </c>
      <c r="ACG29" s="90">
        <f t="shared" si="467"/>
        <v>0.69</v>
      </c>
      <c r="ACH29" s="90">
        <f t="shared" si="468"/>
        <v>111.29032258064515</v>
      </c>
      <c r="ACI29" s="90">
        <f t="shared" si="469"/>
        <v>17.740000000000002</v>
      </c>
      <c r="ACJ29" s="90">
        <f t="shared" si="470"/>
        <v>17.290000000000003</v>
      </c>
      <c r="ACK29" s="90">
        <f t="shared" si="471"/>
        <v>-0.44999999999999929</v>
      </c>
      <c r="ACL29" s="90"/>
      <c r="ACM29" s="90">
        <f t="shared" si="472"/>
        <v>17.740000000000002</v>
      </c>
      <c r="ACN29" s="90">
        <f t="shared" si="473"/>
        <v>0</v>
      </c>
      <c r="ACO29" s="90">
        <f t="shared" si="474"/>
        <v>17.740000000000002</v>
      </c>
      <c r="ACP29" s="90">
        <v>16</v>
      </c>
      <c r="ACQ29" s="90">
        <f t="shared" si="475"/>
        <v>110.87500000000001</v>
      </c>
      <c r="ACR29" s="90">
        <f t="shared" si="476"/>
        <v>0</v>
      </c>
      <c r="ACS29" s="90">
        <v>0</v>
      </c>
      <c r="ACT29" s="90"/>
      <c r="ACU29" s="90">
        <f t="shared" si="477"/>
        <v>16.815999999999999</v>
      </c>
      <c r="ACV29" s="90">
        <f t="shared" si="478"/>
        <v>-0.92400000000000304</v>
      </c>
      <c r="ACX29" s="106" t="s">
        <v>498</v>
      </c>
      <c r="ACY29" s="107">
        <v>30000</v>
      </c>
      <c r="ACZ29" s="107">
        <v>30000</v>
      </c>
      <c r="ADB29" s="90">
        <f t="shared" si="479"/>
        <v>4.1100000000000003</v>
      </c>
      <c r="ADC29" s="90">
        <f t="shared" si="480"/>
        <v>6.58</v>
      </c>
      <c r="ADD29" s="90">
        <f t="shared" si="481"/>
        <v>4.18</v>
      </c>
      <c r="ADE29" s="90">
        <f t="shared" si="517"/>
        <v>0.46</v>
      </c>
      <c r="ADF29" s="90">
        <f t="shared" si="483"/>
        <v>0</v>
      </c>
      <c r="ADG29" s="90">
        <f t="shared" si="539"/>
        <v>0.46</v>
      </c>
      <c r="ADH29" s="90">
        <f t="shared" si="539"/>
        <v>0</v>
      </c>
      <c r="ADI29" s="90">
        <f t="shared" si="539"/>
        <v>0</v>
      </c>
      <c r="ADJ29" s="90">
        <f t="shared" si="485"/>
        <v>1.94</v>
      </c>
      <c r="ADK29" s="90">
        <f t="shared" si="486"/>
        <v>0</v>
      </c>
      <c r="ADL29" s="90">
        <f t="shared" si="487"/>
        <v>0</v>
      </c>
      <c r="ADM29" s="90">
        <f t="shared" si="540"/>
        <v>0</v>
      </c>
      <c r="ADN29" s="90">
        <f t="shared" si="540"/>
        <v>0</v>
      </c>
      <c r="ADO29" s="90">
        <f t="shared" si="489"/>
        <v>1.94</v>
      </c>
      <c r="ADP29" s="90">
        <f t="shared" si="490"/>
        <v>6.36</v>
      </c>
      <c r="ADQ29" s="90">
        <f t="shared" si="491"/>
        <v>0.69</v>
      </c>
      <c r="ADR29" s="90">
        <f t="shared" si="492"/>
        <v>17.740000000000002</v>
      </c>
      <c r="ADU29" s="90">
        <f t="shared" si="493"/>
        <v>1.1499999999999999</v>
      </c>
      <c r="ADV29" s="90">
        <f t="shared" si="494"/>
        <v>0</v>
      </c>
      <c r="ADW29" s="90">
        <f t="shared" si="495"/>
        <v>1.94</v>
      </c>
      <c r="ADX29" s="90">
        <f t="shared" si="496"/>
        <v>4.1100000000000003</v>
      </c>
      <c r="ADY29" s="90">
        <f t="shared" si="497"/>
        <v>10.08</v>
      </c>
      <c r="ADZ29" s="90">
        <f t="shared" si="498"/>
        <v>0</v>
      </c>
      <c r="AEA29" s="90">
        <f t="shared" si="499"/>
        <v>17.740000000000002</v>
      </c>
      <c r="AEB29" s="90">
        <f t="shared" si="500"/>
        <v>0</v>
      </c>
      <c r="AEC29" s="104">
        <f t="shared" si="501"/>
        <v>17.28</v>
      </c>
      <c r="AED29" s="104">
        <f t="shared" si="502"/>
        <v>0.46000000000000085</v>
      </c>
      <c r="AEG29" s="1">
        <v>6.14</v>
      </c>
      <c r="AEH29" s="1">
        <v>4.21</v>
      </c>
      <c r="AEI29" s="1">
        <v>0</v>
      </c>
      <c r="AEJ29" s="1">
        <v>1.93</v>
      </c>
      <c r="AEK29" s="1">
        <v>0</v>
      </c>
      <c r="AEL29" s="1">
        <v>0</v>
      </c>
      <c r="AEM29" s="1">
        <v>0</v>
      </c>
      <c r="AEN29" s="1">
        <v>0</v>
      </c>
      <c r="AEO29" s="1">
        <v>0</v>
      </c>
      <c r="AEP29" s="1">
        <v>0</v>
      </c>
      <c r="AEQ29" s="1">
        <v>0</v>
      </c>
      <c r="AER29" s="1">
        <v>0</v>
      </c>
      <c r="AES29" s="1">
        <v>0</v>
      </c>
      <c r="AET29" s="1">
        <v>0</v>
      </c>
      <c r="AEU29" s="1">
        <v>0</v>
      </c>
      <c r="AEV29" s="1">
        <v>0.02</v>
      </c>
      <c r="AEW29" s="1">
        <v>3.91</v>
      </c>
      <c r="AEX29" s="1">
        <v>7.26</v>
      </c>
      <c r="AEY29" s="1">
        <v>7.26</v>
      </c>
      <c r="AEZ29" s="1">
        <v>5.33</v>
      </c>
      <c r="AFA29" s="1">
        <v>0.01</v>
      </c>
      <c r="AFB29" s="1">
        <v>5.34</v>
      </c>
      <c r="AFC29" s="1">
        <v>227</v>
      </c>
      <c r="AFD29" s="1">
        <v>230.38</v>
      </c>
      <c r="AFE29" s="1">
        <v>0.46</v>
      </c>
      <c r="AFF29" s="1">
        <v>0.16</v>
      </c>
      <c r="AFG29" s="1">
        <v>0.11989898989898991</v>
      </c>
      <c r="AFH29" s="1">
        <v>0.16010000000000002</v>
      </c>
      <c r="AFI29" s="1">
        <v>0.38175323599898991</v>
      </c>
      <c r="AFJ29" s="1">
        <v>0.62</v>
      </c>
      <c r="AFK29" s="1">
        <v>16</v>
      </c>
      <c r="AFL29" s="1">
        <v>16.010000000000002</v>
      </c>
      <c r="AFM29" s="1">
        <v>1.0000000000001563E-2</v>
      </c>
      <c r="AFO29" s="1">
        <v>16</v>
      </c>
      <c r="AFP29" s="1">
        <v>0</v>
      </c>
      <c r="AFQ29" s="1">
        <v>16</v>
      </c>
      <c r="AFX29" s="1">
        <v>17.739999999999998</v>
      </c>
    </row>
    <row r="30" spans="1:856" s="1" customFormat="1" ht="63.75" customHeight="1">
      <c r="A30" s="88">
        <v>22</v>
      </c>
      <c r="B30" s="20"/>
      <c r="C30" s="89" t="s">
        <v>499</v>
      </c>
      <c r="D30" s="20"/>
      <c r="E30" s="20" t="s">
        <v>437</v>
      </c>
      <c r="F30" s="20" t="s">
        <v>438</v>
      </c>
      <c r="G30" s="20">
        <v>0.8</v>
      </c>
      <c r="H30" s="20">
        <v>358.2</v>
      </c>
      <c r="I30" s="20">
        <f>358.2+1.9-1.9</f>
        <v>358.2</v>
      </c>
      <c r="J30" s="20">
        <f t="shared" si="0"/>
        <v>286.56</v>
      </c>
      <c r="K30" s="20">
        <v>9</v>
      </c>
      <c r="L30" s="20"/>
      <c r="M30" s="20"/>
      <c r="N30" s="20"/>
      <c r="O30" s="90">
        <f t="shared" si="1"/>
        <v>0</v>
      </c>
      <c r="P30" s="20"/>
      <c r="Q30" s="20"/>
      <c r="R30" s="90">
        <f t="shared" si="2"/>
        <v>0</v>
      </c>
      <c r="S30" s="20">
        <v>24</v>
      </c>
      <c r="T30" s="20">
        <v>2.6</v>
      </c>
      <c r="U30" s="20">
        <v>3.13</v>
      </c>
      <c r="V30" s="91">
        <f t="shared" si="3"/>
        <v>195.31</v>
      </c>
      <c r="W30" s="20">
        <v>2.1000000000000001E-2</v>
      </c>
      <c r="X30" s="20">
        <f t="shared" si="4"/>
        <v>33.42</v>
      </c>
      <c r="Y30" s="91">
        <f t="shared" si="5"/>
        <v>16.84</v>
      </c>
      <c r="Z30" s="20"/>
      <c r="AA30" s="20"/>
      <c r="AB30" s="20"/>
      <c r="AC30" s="91">
        <f t="shared" si="6"/>
        <v>212.16</v>
      </c>
      <c r="AD30" s="90">
        <f t="shared" si="7"/>
        <v>0.59</v>
      </c>
      <c r="AE30" s="92">
        <f t="shared" si="8"/>
        <v>2545.92</v>
      </c>
      <c r="AF30" s="20">
        <v>15</v>
      </c>
      <c r="AG30" s="20">
        <v>15</v>
      </c>
      <c r="AH30" s="20">
        <v>15</v>
      </c>
      <c r="AI30" s="20">
        <v>17</v>
      </c>
      <c r="AJ30" s="20">
        <v>1.6</v>
      </c>
      <c r="AK30" s="90">
        <f t="shared" si="9"/>
        <v>2</v>
      </c>
      <c r="AL30" s="90">
        <v>391.01</v>
      </c>
      <c r="AM30" s="90">
        <f t="shared" si="10"/>
        <v>782.02</v>
      </c>
      <c r="AN30" s="20">
        <v>15</v>
      </c>
      <c r="AO30" s="20">
        <v>15</v>
      </c>
      <c r="AP30" s="20">
        <v>15</v>
      </c>
      <c r="AQ30" s="20">
        <v>15</v>
      </c>
      <c r="AR30" s="20">
        <v>15</v>
      </c>
      <c r="AS30" s="20">
        <v>17</v>
      </c>
      <c r="AT30" s="20">
        <f t="shared" si="11"/>
        <v>0</v>
      </c>
      <c r="AU30" s="20">
        <v>1.6</v>
      </c>
      <c r="AV30" s="90">
        <f t="shared" si="12"/>
        <v>2</v>
      </c>
      <c r="AW30" s="90">
        <f t="shared" si="523"/>
        <v>188.88</v>
      </c>
      <c r="AX30" s="90">
        <v>428.13</v>
      </c>
      <c r="AY30" s="90">
        <f t="shared" si="14"/>
        <v>1.2</v>
      </c>
      <c r="AZ30" s="90">
        <f t="shared" si="15"/>
        <v>782.02</v>
      </c>
      <c r="BA30" s="90">
        <f t="shared" si="16"/>
        <v>-353.89</v>
      </c>
      <c r="BB30" s="90">
        <v>428.13</v>
      </c>
      <c r="BC30" s="90">
        <v>1.2</v>
      </c>
      <c r="BD30" s="92">
        <f t="shared" si="17"/>
        <v>5137.5599999999995</v>
      </c>
      <c r="BE30" s="90"/>
      <c r="BF30" s="90">
        <f t="shared" si="18"/>
        <v>0</v>
      </c>
      <c r="BG30" s="90">
        <v>391.01</v>
      </c>
      <c r="BH30" s="90">
        <f t="shared" si="19"/>
        <v>782.02</v>
      </c>
      <c r="BI30" s="90">
        <f t="shared" si="20"/>
        <v>2.1800000000000002</v>
      </c>
      <c r="BJ30" s="90">
        <f t="shared" si="21"/>
        <v>181.66666666666669</v>
      </c>
      <c r="BK30" s="90">
        <f t="shared" si="22"/>
        <v>782.02</v>
      </c>
      <c r="BL30" s="90">
        <f t="shared" si="23"/>
        <v>2.1800000000000002</v>
      </c>
      <c r="BM30" s="90"/>
      <c r="BN30" s="90">
        <f t="shared" si="24"/>
        <v>0</v>
      </c>
      <c r="BO30" s="90">
        <f t="shared" si="25"/>
        <v>782.02</v>
      </c>
      <c r="BP30" s="90">
        <f t="shared" si="26"/>
        <v>2.1831937465103293</v>
      </c>
      <c r="BQ30" s="90"/>
      <c r="BR30" s="90">
        <f t="shared" si="27"/>
        <v>0</v>
      </c>
      <c r="BS30" s="90">
        <f t="shared" si="28"/>
        <v>782.02</v>
      </c>
      <c r="BT30" s="90">
        <f t="shared" si="29"/>
        <v>2.1831937465103293</v>
      </c>
      <c r="BU30" s="90"/>
      <c r="BV30" s="93">
        <v>1.4356370000000001</v>
      </c>
      <c r="BW30" s="90">
        <f t="shared" si="30"/>
        <v>514.2451734</v>
      </c>
      <c r="BX30" s="90">
        <f t="shared" si="31"/>
        <v>545.099883804</v>
      </c>
      <c r="BY30" s="90"/>
      <c r="BZ30" s="90"/>
      <c r="CA30" s="90">
        <v>0.2651</v>
      </c>
      <c r="CB30" s="90">
        <f>$I30*CA30</f>
        <v>94.958820000000003</v>
      </c>
      <c r="CC30" s="90">
        <v>0.71072749999999996</v>
      </c>
      <c r="CD30" s="90">
        <f t="shared" si="33"/>
        <v>67.489844741550002</v>
      </c>
      <c r="CE30" s="90">
        <f t="shared" si="34"/>
        <v>102.05149871049272</v>
      </c>
      <c r="CF30" s="90">
        <f>I30*0.278131673</f>
        <v>99.62676526860001</v>
      </c>
      <c r="CG30" s="90">
        <f>I30*0.278131673</f>
        <v>99.62676526860001</v>
      </c>
      <c r="CH30" s="90">
        <f t="shared" si="35"/>
        <v>104.41</v>
      </c>
      <c r="CI30" s="90">
        <f t="shared" si="524"/>
        <v>109.57790428900405</v>
      </c>
      <c r="CJ30" s="90">
        <f t="shared" si="36"/>
        <v>110.15</v>
      </c>
      <c r="CK30" s="90">
        <f t="shared" si="37"/>
        <v>116.49949985607367</v>
      </c>
      <c r="CL30" s="90">
        <f t="shared" si="38"/>
        <v>116.49949985607367</v>
      </c>
      <c r="CM30" s="94">
        <v>0.14899999999999999</v>
      </c>
      <c r="CN30" s="90">
        <f t="shared" si="39"/>
        <v>76.622530836599992</v>
      </c>
      <c r="CO30" s="90">
        <f t="shared" si="40"/>
        <v>81.219882686795998</v>
      </c>
      <c r="CP30" s="90"/>
      <c r="CQ30" s="90">
        <v>3.9539251999999997E-2</v>
      </c>
      <c r="CR30" s="90">
        <f>$I30*CQ30</f>
        <v>14.162960066399998</v>
      </c>
      <c r="CS30" s="90">
        <v>0.71072749999999996</v>
      </c>
      <c r="CT30" s="90">
        <f t="shared" si="42"/>
        <v>10.066005200592304</v>
      </c>
      <c r="CU30" s="90">
        <f t="shared" si="43"/>
        <v>15.220822046366827</v>
      </c>
      <c r="CV30" s="90">
        <f>I30*0.085943583</f>
        <v>30.784991430600002</v>
      </c>
      <c r="CW30" s="90">
        <f t="shared" si="44"/>
        <v>32.26</v>
      </c>
      <c r="CX30" s="90">
        <f t="shared" si="525"/>
        <v>33.856749280368454</v>
      </c>
      <c r="CY30" s="90">
        <f t="shared" si="45"/>
        <v>34.03</v>
      </c>
      <c r="CZ30" s="90">
        <f t="shared" si="46"/>
        <v>35.995343983880247</v>
      </c>
      <c r="DA30" s="90">
        <f t="shared" si="47"/>
        <v>35.995343983880247</v>
      </c>
      <c r="DB30" s="93">
        <v>1.4169099999999999</v>
      </c>
      <c r="DC30" s="90">
        <f t="shared" si="48"/>
        <v>507.53716199999997</v>
      </c>
      <c r="DD30" s="90">
        <f t="shared" si="49"/>
        <v>537.98939171999996</v>
      </c>
      <c r="DE30" s="90"/>
      <c r="DF30" s="90"/>
      <c r="DG30" s="90">
        <v>0.16261500000000001</v>
      </c>
      <c r="DH30" s="90">
        <f>$I30*DG30</f>
        <v>58.248693000000003</v>
      </c>
      <c r="DI30" s="90">
        <v>0.71072749999999996</v>
      </c>
      <c r="DJ30" s="90">
        <f t="shared" si="51"/>
        <v>41.398947954157499</v>
      </c>
      <c r="DK30" s="90">
        <f t="shared" si="52"/>
        <v>62.599413288595905</v>
      </c>
      <c r="DL30" s="90">
        <f>I30*0.138251926</f>
        <v>49.521839893199996</v>
      </c>
      <c r="DM30" s="90">
        <f t="shared" si="53"/>
        <v>51.9</v>
      </c>
      <c r="DN30" s="90">
        <f t="shared" si="526"/>
        <v>54.468855785837654</v>
      </c>
      <c r="DO30" s="90">
        <f t="shared" si="54"/>
        <v>54.75</v>
      </c>
      <c r="DP30" s="90">
        <f t="shared" si="55"/>
        <v>57.909434369602742</v>
      </c>
      <c r="DQ30" s="90">
        <f t="shared" si="56"/>
        <v>57.909434369602742</v>
      </c>
      <c r="DR30" s="93">
        <v>5.6880149999999997E-2</v>
      </c>
      <c r="DS30" s="90">
        <f t="shared" si="57"/>
        <v>20.374469729999998</v>
      </c>
      <c r="DT30" s="90">
        <f t="shared" si="58"/>
        <v>21.596937913799998</v>
      </c>
      <c r="DU30" s="90"/>
      <c r="DV30" s="90">
        <v>6.1506E-3</v>
      </c>
      <c r="DW30" s="90">
        <f>$I30*DV30</f>
        <v>2.2031449199999997</v>
      </c>
      <c r="DX30" s="90">
        <v>0.71072749999999996</v>
      </c>
      <c r="DY30" s="90">
        <f t="shared" si="60"/>
        <v>1.5658356811292997</v>
      </c>
      <c r="DZ30" s="90">
        <f t="shared" si="61"/>
        <v>2.3677025574076063</v>
      </c>
      <c r="EA30" s="90">
        <f t="shared" si="62"/>
        <v>2.48</v>
      </c>
      <c r="EB30" s="90">
        <f t="shared" si="527"/>
        <v>2.6027507196315489</v>
      </c>
      <c r="EC30" s="90">
        <f t="shared" si="63"/>
        <v>2.62</v>
      </c>
      <c r="ED30" s="90">
        <f t="shared" si="64"/>
        <v>2.7671560161197455</v>
      </c>
      <c r="EE30" s="90">
        <f t="shared" si="65"/>
        <v>2.7671560161197455</v>
      </c>
      <c r="EF30" s="94">
        <v>0.85293354333000004</v>
      </c>
      <c r="EG30" s="90">
        <f t="shared" si="66"/>
        <v>244.4166361766448</v>
      </c>
      <c r="EH30" s="90">
        <f t="shared" si="67"/>
        <v>259.08163434724349</v>
      </c>
      <c r="EI30" s="90"/>
      <c r="EJ30" s="90">
        <v>0.58975</v>
      </c>
      <c r="EK30" s="90">
        <f t="shared" si="68"/>
        <v>168.99876</v>
      </c>
      <c r="EL30" s="90">
        <v>0.71072749999999996</v>
      </c>
      <c r="EM30" s="90">
        <f t="shared" si="69"/>
        <v>120.11206619789999</v>
      </c>
      <c r="EN30" s="90">
        <f t="shared" si="70"/>
        <v>181.62164123579956</v>
      </c>
      <c r="EO30" s="90">
        <f>J30*0.618109699</f>
        <v>177.12551534543999</v>
      </c>
      <c r="EP30" s="90">
        <f t="shared" si="71"/>
        <v>185.63</v>
      </c>
      <c r="EQ30" s="90">
        <f t="shared" si="528"/>
        <v>194.81799035693729</v>
      </c>
      <c r="ER30" s="90">
        <f t="shared" si="72"/>
        <v>195.84</v>
      </c>
      <c r="ES30" s="90">
        <f t="shared" si="73"/>
        <v>207.12385938399535</v>
      </c>
      <c r="ET30" s="90">
        <f t="shared" si="74"/>
        <v>207.12385938399535</v>
      </c>
      <c r="EU30" s="94">
        <v>0.14899999999999999</v>
      </c>
      <c r="EV30" s="90">
        <f t="shared" si="75"/>
        <v>36.418078790320074</v>
      </c>
      <c r="EW30" s="90">
        <f t="shared" si="76"/>
        <v>38.603163517739283</v>
      </c>
      <c r="EX30" s="90"/>
      <c r="EY30" s="90">
        <v>8.7870000000000004E-2</v>
      </c>
      <c r="EZ30" s="90">
        <f t="shared" si="77"/>
        <v>25.180027200000001</v>
      </c>
      <c r="FA30" s="90">
        <v>0.71072749999999996</v>
      </c>
      <c r="FB30" s="90">
        <f t="shared" si="78"/>
        <v>17.896137781787999</v>
      </c>
      <c r="FC30" s="90">
        <f t="shared" si="79"/>
        <v>27.060777643729899</v>
      </c>
      <c r="FD30" s="90">
        <f>J30*0.191129561</f>
        <v>54.770087000160004</v>
      </c>
      <c r="FE30" s="90">
        <f t="shared" si="80"/>
        <v>57.4</v>
      </c>
      <c r="FF30" s="90">
        <f t="shared" si="529"/>
        <v>60.241085204375374</v>
      </c>
      <c r="FG30" s="90">
        <f t="shared" si="81"/>
        <v>60.56</v>
      </c>
      <c r="FH30" s="90">
        <f t="shared" si="82"/>
        <v>64.046272308577997</v>
      </c>
      <c r="FI30" s="90">
        <f t="shared" si="83"/>
        <v>64.046272308577997</v>
      </c>
      <c r="FJ30" s="93">
        <v>0.49981642240000002</v>
      </c>
      <c r="FK30" s="90">
        <f t="shared" si="84"/>
        <v>143.22739400294401</v>
      </c>
      <c r="FL30" s="90">
        <f t="shared" si="85"/>
        <v>151.82103764312066</v>
      </c>
      <c r="FM30" s="90"/>
      <c r="FN30" s="90">
        <v>0.35812500000000003</v>
      </c>
      <c r="FO30" s="90">
        <f t="shared" si="86"/>
        <v>102.62430000000001</v>
      </c>
      <c r="FP30" s="90">
        <v>0.71072749999999996</v>
      </c>
      <c r="FQ30" s="90">
        <f t="shared" si="87"/>
        <v>72.937912178250002</v>
      </c>
      <c r="FR30" s="90">
        <f t="shared" si="88"/>
        <v>110.28952991533825</v>
      </c>
      <c r="FS30" s="90">
        <f>J30*0.303398168</f>
        <v>86.941779022080013</v>
      </c>
      <c r="FT30" s="90">
        <f t="shared" si="89"/>
        <v>91.11</v>
      </c>
      <c r="FU30" s="90">
        <f>J30*0.303651882</f>
        <v>87.014483305919995</v>
      </c>
      <c r="FV30" s="90">
        <f t="shared" si="90"/>
        <v>91.19</v>
      </c>
      <c r="FW30" s="90">
        <f t="shared" si="530"/>
        <v>95.70356375935522</v>
      </c>
      <c r="FX30" s="90">
        <f t="shared" si="91"/>
        <v>96.21</v>
      </c>
      <c r="FY30" s="90">
        <f t="shared" si="92"/>
        <v>101.74877302820951</v>
      </c>
      <c r="FZ30" s="90">
        <f t="shared" si="93"/>
        <v>101.74877302820951</v>
      </c>
      <c r="GA30" s="94">
        <v>1.352261642E-2</v>
      </c>
      <c r="GB30" s="90">
        <f t="shared" si="94"/>
        <v>3.8750409613151997</v>
      </c>
      <c r="GC30" s="90">
        <f t="shared" si="95"/>
        <v>4.107543418994112</v>
      </c>
      <c r="GD30" s="90"/>
      <c r="GE30" s="90">
        <v>1.0749999999999999E-2</v>
      </c>
      <c r="GF30" s="90">
        <f t="shared" si="96"/>
        <v>3.0805199999999999</v>
      </c>
      <c r="GG30" s="90">
        <v>0.71072749999999996</v>
      </c>
      <c r="GH30" s="90">
        <f t="shared" si="97"/>
        <v>2.1894102783</v>
      </c>
      <c r="GI30" s="90">
        <f t="shared" si="98"/>
        <v>3.3106106711061387</v>
      </c>
      <c r="GJ30" s="90">
        <f t="shared" si="99"/>
        <v>3.47</v>
      </c>
      <c r="GK30" s="90">
        <f t="shared" si="531"/>
        <v>3.6417520149683371</v>
      </c>
      <c r="GL30" s="90">
        <f t="shared" si="100"/>
        <v>3.66</v>
      </c>
      <c r="GM30" s="90">
        <f t="shared" si="101"/>
        <v>3.8717868451352899</v>
      </c>
      <c r="GN30" s="90">
        <f t="shared" si="102"/>
        <v>3.8717868451352899</v>
      </c>
      <c r="GO30" s="90">
        <v>1585.2</v>
      </c>
      <c r="GP30" s="90">
        <f t="shared" si="103"/>
        <v>132.1</v>
      </c>
      <c r="GQ30" s="90">
        <f>1058.4+69.3</f>
        <v>1127.7</v>
      </c>
      <c r="GR30" s="90">
        <f t="shared" si="104"/>
        <v>93.975000000000009</v>
      </c>
      <c r="GS30" s="90">
        <f t="shared" si="105"/>
        <v>226.07499999999999</v>
      </c>
      <c r="GT30" s="90">
        <f t="shared" si="106"/>
        <v>0.63</v>
      </c>
      <c r="GU30" s="90">
        <v>1508.6</v>
      </c>
      <c r="GV30" s="90">
        <f>836+55.1</f>
        <v>891.1</v>
      </c>
      <c r="GW30" s="90">
        <f t="shared" si="107"/>
        <v>199.97499999999999</v>
      </c>
      <c r="GX30" s="90">
        <f t="shared" si="108"/>
        <v>0.56000000000000005</v>
      </c>
      <c r="GY30" s="90">
        <v>2658.1</v>
      </c>
      <c r="GZ30" s="90">
        <f>889.2+58.9</f>
        <v>948.1</v>
      </c>
      <c r="HA30" s="90">
        <f t="shared" si="109"/>
        <v>300.51666666666665</v>
      </c>
      <c r="HB30" s="90">
        <f t="shared" si="110"/>
        <v>0.84</v>
      </c>
      <c r="HC30" s="90">
        <v>2658.1</v>
      </c>
      <c r="HD30" s="90">
        <f>889.2+58.9</f>
        <v>948.1</v>
      </c>
      <c r="HE30" s="90">
        <f t="shared" si="111"/>
        <v>300.51666666666665</v>
      </c>
      <c r="HF30" s="90">
        <f t="shared" si="112"/>
        <v>0.84</v>
      </c>
      <c r="HG30" s="90"/>
      <c r="HH30" s="90"/>
      <c r="HI30" s="90">
        <v>0.96</v>
      </c>
      <c r="HJ30" s="90">
        <f t="shared" si="113"/>
        <v>343.87199999999996</v>
      </c>
      <c r="HK30" s="90">
        <f t="shared" si="114"/>
        <v>1.0060859854829705</v>
      </c>
      <c r="HL30" s="90">
        <f t="shared" si="115"/>
        <v>360.38</v>
      </c>
      <c r="HM30" s="90">
        <v>1.07</v>
      </c>
      <c r="HN30" s="90">
        <f t="shared" si="116"/>
        <v>383.274</v>
      </c>
      <c r="HO30" s="90">
        <v>1.1499999999999999</v>
      </c>
      <c r="HP30" s="90">
        <f t="shared" si="117"/>
        <v>411.93</v>
      </c>
      <c r="HQ30" s="90">
        <v>1.1499999999999999</v>
      </c>
      <c r="HR30" s="90">
        <f t="shared" si="118"/>
        <v>411.93</v>
      </c>
      <c r="HS30" s="90">
        <v>0.31919999999999998</v>
      </c>
      <c r="HT30" s="90">
        <f t="shared" si="119"/>
        <v>114.33743999999999</v>
      </c>
      <c r="HU30" s="90" t="e">
        <f>HT30*#REF!</f>
        <v>#REF!</v>
      </c>
      <c r="HV30" s="90">
        <v>2.83</v>
      </c>
      <c r="HW30" s="90">
        <v>3.1</v>
      </c>
      <c r="HX30" s="90">
        <f t="shared" si="120"/>
        <v>1110.42</v>
      </c>
      <c r="HY30" s="90">
        <v>1.06</v>
      </c>
      <c r="HZ30" s="90">
        <f t="shared" si="121"/>
        <v>1177.0452000000002</v>
      </c>
      <c r="IA30" s="90">
        <f t="shared" si="122"/>
        <v>3.29</v>
      </c>
      <c r="IB30" s="90">
        <f t="shared" si="123"/>
        <v>3.45</v>
      </c>
      <c r="IC30" s="90">
        <f t="shared" si="124"/>
        <v>1235.79</v>
      </c>
      <c r="ID30" s="90">
        <f t="shared" si="125"/>
        <v>3.64</v>
      </c>
      <c r="IE30" s="90">
        <f t="shared" si="126"/>
        <v>1303.8499999999999</v>
      </c>
      <c r="IF30" s="90">
        <f t="shared" si="127"/>
        <v>3.64</v>
      </c>
      <c r="IG30" s="92">
        <f t="shared" si="128"/>
        <v>15646.199999999999</v>
      </c>
      <c r="IH30" s="90">
        <v>3.91</v>
      </c>
      <c r="II30" s="90">
        <f t="shared" si="129"/>
        <v>4.1100000000000003</v>
      </c>
      <c r="IJ30" s="90">
        <f t="shared" si="130"/>
        <v>1472.2</v>
      </c>
      <c r="IK30" s="90">
        <f t="shared" si="131"/>
        <v>4.1100000000000003</v>
      </c>
      <c r="IL30" s="90">
        <f t="shared" si="132"/>
        <v>1472.2</v>
      </c>
      <c r="IM30" s="90">
        <f t="shared" si="133"/>
        <v>4.1100000000000003</v>
      </c>
      <c r="IN30" s="90">
        <f t="shared" si="134"/>
        <v>1472.2</v>
      </c>
      <c r="IO30" s="90">
        <f t="shared" si="135"/>
        <v>4.1100000000000003</v>
      </c>
      <c r="IP30" s="93">
        <v>0.37052404126999999</v>
      </c>
      <c r="IQ30" s="90">
        <f t="shared" si="136"/>
        <v>106.1773692663312</v>
      </c>
      <c r="IR30" s="90">
        <f t="shared" si="137"/>
        <v>112.54801142231108</v>
      </c>
      <c r="IS30" s="90">
        <v>108693.96</v>
      </c>
      <c r="IT30" s="90">
        <v>3053.33</v>
      </c>
      <c r="IU30" s="94"/>
      <c r="IV30" s="94"/>
      <c r="IW30" s="94">
        <v>1.6976249999999999</v>
      </c>
      <c r="IX30" s="90">
        <f t="shared" si="138"/>
        <v>486.47141999999997</v>
      </c>
      <c r="IY30" s="93">
        <v>0.56339614052999998</v>
      </c>
      <c r="IZ30" s="90">
        <f t="shared" si="139"/>
        <v>201.80849753784599</v>
      </c>
      <c r="JA30" s="90">
        <f t="shared" si="140"/>
        <v>211.5</v>
      </c>
      <c r="JB30" s="90">
        <f t="shared" si="532"/>
        <v>221.96845854922285</v>
      </c>
      <c r="JC30" s="90">
        <f t="shared" si="141"/>
        <v>223.13</v>
      </c>
      <c r="JD30" s="90">
        <f t="shared" si="142"/>
        <v>235.98931347150256</v>
      </c>
      <c r="JE30" s="90">
        <f t="shared" si="143"/>
        <v>235.98931347150256</v>
      </c>
      <c r="JF30" s="93">
        <v>4.2278943710000003E-2</v>
      </c>
      <c r="JG30" s="90">
        <f t="shared" si="144"/>
        <v>12.1154541095376</v>
      </c>
      <c r="JH30" s="90">
        <f t="shared" si="145"/>
        <v>12.842381356109856</v>
      </c>
      <c r="JI30" s="20">
        <v>462.98</v>
      </c>
      <c r="JJ30" s="20"/>
      <c r="JK30" s="20">
        <v>6.0624999999999998E-2</v>
      </c>
      <c r="JL30" s="90">
        <f t="shared" si="146"/>
        <v>17.372699999999998</v>
      </c>
      <c r="JM30" s="93">
        <v>6.7347080040000007E-2</v>
      </c>
      <c r="JN30" s="90">
        <f t="shared" si="147"/>
        <v>24.123724070328002</v>
      </c>
      <c r="JO30" s="90">
        <f t="shared" si="148"/>
        <v>25.28</v>
      </c>
      <c r="JP30" s="90">
        <f t="shared" si="533"/>
        <v>26.531265400115149</v>
      </c>
      <c r="JQ30" s="90">
        <f t="shared" si="149"/>
        <v>26.67</v>
      </c>
      <c r="JR30" s="90">
        <f t="shared" si="150"/>
        <v>28.207138744962574</v>
      </c>
      <c r="JS30" s="90">
        <f t="shared" si="151"/>
        <v>28.207138744962574</v>
      </c>
      <c r="JT30" s="93">
        <v>7.3220517000000002E-3</v>
      </c>
      <c r="JU30" s="90">
        <f t="shared" si="152"/>
        <v>2.0982071351520002</v>
      </c>
      <c r="JV30" s="90">
        <f t="shared" si="153"/>
        <v>2.2000000000000002</v>
      </c>
      <c r="JW30" s="90">
        <f t="shared" si="534"/>
        <v>2.308891767415084</v>
      </c>
      <c r="JX30" s="90">
        <f t="shared" si="154"/>
        <v>2.3199999999999998</v>
      </c>
      <c r="JY30" s="90">
        <f t="shared" si="155"/>
        <v>2.4547351755900975</v>
      </c>
      <c r="JZ30" s="90">
        <f t="shared" si="156"/>
        <v>2.4547351755900975</v>
      </c>
      <c r="KA30" s="90">
        <v>8.3090999999999998E-3</v>
      </c>
      <c r="KB30" s="90">
        <f t="shared" si="157"/>
        <v>2.3810556959999998</v>
      </c>
      <c r="KC30" s="90" t="e">
        <f>KB30*#REF!</f>
        <v>#REF!</v>
      </c>
      <c r="KD30" s="90">
        <v>34406.519999999997</v>
      </c>
      <c r="KE30" s="90">
        <v>40292.97</v>
      </c>
      <c r="KF30" s="90"/>
      <c r="KG30" s="90">
        <f>I30/KD30*KE30</f>
        <v>419.48275658218273</v>
      </c>
      <c r="KH30" s="90" t="e">
        <f>KG30/(BW30+#REF!)*(CB30+#REF!)</f>
        <v>#REF!</v>
      </c>
      <c r="KI30" s="90">
        <v>0.8</v>
      </c>
      <c r="KJ30" s="94"/>
      <c r="KK30" s="90">
        <f t="shared" si="159"/>
        <v>0</v>
      </c>
      <c r="KL30" s="93">
        <v>1.2690177</v>
      </c>
      <c r="KM30" s="90">
        <f t="shared" si="160"/>
        <v>454.56214014</v>
      </c>
      <c r="KN30" s="90">
        <f t="shared" si="161"/>
        <v>481.83586854840001</v>
      </c>
      <c r="KO30" s="90" t="e">
        <f>BW30+CN30+DC30+DS30+EG30+EV30+FK30+GB30+#REF!+#REF!+HJ30+HX30+IQ30+JG30+JU30+KK30+KM30</f>
        <v>#REF!</v>
      </c>
      <c r="KP30" s="90"/>
      <c r="KQ30" s="90">
        <v>0.50815001599999998</v>
      </c>
      <c r="KR30" s="90">
        <f t="shared" si="514"/>
        <v>182.01933573119999</v>
      </c>
      <c r="KS30" s="90">
        <v>0.71072749999999996</v>
      </c>
      <c r="KT30" s="90">
        <f t="shared" si="163"/>
        <v>129.36614743589644</v>
      </c>
      <c r="KU30" s="90">
        <f t="shared" si="164"/>
        <v>195.61475180143663</v>
      </c>
      <c r="KV30" s="90">
        <f t="shared" si="165"/>
        <v>205</v>
      </c>
      <c r="KW30" s="90">
        <f t="shared" si="535"/>
        <v>215.14673287276918</v>
      </c>
      <c r="KX30" s="90">
        <f t="shared" si="166"/>
        <v>216.28</v>
      </c>
      <c r="KY30" s="90">
        <f t="shared" si="167"/>
        <v>228.73668681634999</v>
      </c>
      <c r="KZ30" s="90">
        <f t="shared" si="168"/>
        <v>228.73668681634999</v>
      </c>
      <c r="LA30" s="90">
        <f t="shared" si="169"/>
        <v>1404.1400000000003</v>
      </c>
      <c r="LB30" s="90">
        <f t="shared" si="170"/>
        <v>3.92</v>
      </c>
      <c r="LC30" s="92">
        <f t="shared" si="171"/>
        <v>16849.680000000004</v>
      </c>
      <c r="LD30" s="92">
        <v>4.21</v>
      </c>
      <c r="LE30" s="92">
        <v>1508.0199999999998</v>
      </c>
      <c r="LF30" s="90">
        <f t="shared" si="172"/>
        <v>4.18</v>
      </c>
      <c r="LG30" s="90">
        <f t="shared" si="173"/>
        <v>1497.28</v>
      </c>
      <c r="LH30" s="90">
        <f t="shared" si="174"/>
        <v>1509.4505000000004</v>
      </c>
      <c r="LI30" s="90">
        <f t="shared" si="175"/>
        <v>4.21</v>
      </c>
      <c r="LJ30" s="90">
        <f t="shared" si="176"/>
        <v>1497.2799999999995</v>
      </c>
      <c r="LK30" s="90">
        <f t="shared" si="177"/>
        <v>4.18</v>
      </c>
      <c r="LL30" s="90">
        <f t="shared" si="178"/>
        <v>1497.2799999999995</v>
      </c>
      <c r="LM30" s="90">
        <f t="shared" si="179"/>
        <v>4.18</v>
      </c>
      <c r="LN30" s="95">
        <v>0.46</v>
      </c>
      <c r="LO30" s="95">
        <f t="shared" si="180"/>
        <v>164.77</v>
      </c>
      <c r="LP30" s="95"/>
      <c r="LQ30" s="95">
        <f t="shared" si="181"/>
        <v>0</v>
      </c>
      <c r="LR30" s="90"/>
      <c r="LS30" s="90"/>
      <c r="LT30" s="90">
        <f t="shared" si="182"/>
        <v>0</v>
      </c>
      <c r="LU30" s="90"/>
      <c r="LV30" s="90">
        <f t="shared" si="183"/>
        <v>0</v>
      </c>
      <c r="LW30" s="90">
        <f t="shared" si="184"/>
        <v>0</v>
      </c>
      <c r="LX30" s="90"/>
      <c r="LY30" s="90"/>
      <c r="LZ30" s="90">
        <f t="shared" si="185"/>
        <v>0</v>
      </c>
      <c r="MA30" s="90"/>
      <c r="MB30" s="90">
        <f t="shared" si="186"/>
        <v>0</v>
      </c>
      <c r="MC30" s="90">
        <f t="shared" si="187"/>
        <v>0</v>
      </c>
      <c r="MD30" s="90"/>
      <c r="ME30" s="90"/>
      <c r="MF30" s="90">
        <f t="shared" si="188"/>
        <v>0</v>
      </c>
      <c r="MG30" s="90"/>
      <c r="MH30" s="90">
        <f t="shared" si="189"/>
        <v>0</v>
      </c>
      <c r="MI30" s="90">
        <f t="shared" si="190"/>
        <v>0</v>
      </c>
      <c r="MJ30" s="90"/>
      <c r="MK30" s="90"/>
      <c r="ML30" s="90">
        <f t="shared" si="191"/>
        <v>0</v>
      </c>
      <c r="MM30" s="90"/>
      <c r="MN30" s="90">
        <f t="shared" si="192"/>
        <v>0</v>
      </c>
      <c r="MO30" s="90">
        <f t="shared" si="193"/>
        <v>0</v>
      </c>
      <c r="MP30" s="90">
        <f t="shared" si="194"/>
        <v>0</v>
      </c>
      <c r="MQ30" s="90">
        <f t="shared" si="195"/>
        <v>0</v>
      </c>
      <c r="MR30" s="90">
        <f t="shared" si="196"/>
        <v>0</v>
      </c>
      <c r="MS30" s="90">
        <f t="shared" si="197"/>
        <v>0</v>
      </c>
      <c r="MT30" s="95"/>
      <c r="MU30" s="95">
        <f t="shared" si="198"/>
        <v>0</v>
      </c>
      <c r="MV30" s="92">
        <f t="shared" si="199"/>
        <v>0</v>
      </c>
      <c r="MW30" s="95"/>
      <c r="MX30" s="95">
        <f t="shared" si="200"/>
        <v>0</v>
      </c>
      <c r="MY30" s="95"/>
      <c r="MZ30" s="95">
        <f t="shared" si="201"/>
        <v>0</v>
      </c>
      <c r="NA30" s="95"/>
      <c r="NB30" s="95">
        <f t="shared" si="202"/>
        <v>0</v>
      </c>
      <c r="NC30" s="92">
        <f t="shared" si="203"/>
        <v>0</v>
      </c>
      <c r="ND30" s="95"/>
      <c r="NE30" s="95">
        <f t="shared" si="204"/>
        <v>0</v>
      </c>
      <c r="NF30" s="95"/>
      <c r="NG30" s="95">
        <f t="shared" si="205"/>
        <v>0</v>
      </c>
      <c r="NH30" s="95"/>
      <c r="NI30" s="95"/>
      <c r="NJ30" s="95">
        <f t="shared" si="206"/>
        <v>0</v>
      </c>
      <c r="NK30" s="92">
        <f t="shared" si="207"/>
        <v>0</v>
      </c>
      <c r="NL30" s="95"/>
      <c r="NM30" s="95">
        <f t="shared" si="208"/>
        <v>0</v>
      </c>
      <c r="NN30" s="95"/>
      <c r="NO30" s="95">
        <f t="shared" si="209"/>
        <v>0</v>
      </c>
      <c r="NP30" s="95"/>
      <c r="NQ30" s="95">
        <f t="shared" si="210"/>
        <v>0</v>
      </c>
      <c r="NR30" s="92">
        <f t="shared" si="211"/>
        <v>0</v>
      </c>
      <c r="NS30" s="95"/>
      <c r="NT30" s="95">
        <f t="shared" si="212"/>
        <v>0</v>
      </c>
      <c r="NU30" s="95"/>
      <c r="NV30" s="95">
        <f t="shared" si="213"/>
        <v>0</v>
      </c>
      <c r="NW30" s="95"/>
      <c r="NX30" s="95">
        <f t="shared" si="214"/>
        <v>0</v>
      </c>
      <c r="NY30" s="92">
        <f t="shared" si="215"/>
        <v>0</v>
      </c>
      <c r="NZ30" s="95"/>
      <c r="OA30" s="95">
        <f t="shared" si="216"/>
        <v>0</v>
      </c>
      <c r="OB30" s="95"/>
      <c r="OC30" s="95">
        <f t="shared" si="217"/>
        <v>0</v>
      </c>
      <c r="OD30" s="90">
        <v>1457.87</v>
      </c>
      <c r="OE30" s="90">
        <f t="shared" si="218"/>
        <v>4.07</v>
      </c>
      <c r="OF30" s="92">
        <f t="shared" si="219"/>
        <v>17494.439999999999</v>
      </c>
      <c r="OG30" s="96">
        <v>428.13</v>
      </c>
      <c r="OH30" s="96">
        <v>1.2</v>
      </c>
      <c r="OI30" s="90">
        <v>2450.09</v>
      </c>
      <c r="OJ30" s="90">
        <f t="shared" si="220"/>
        <v>6.84</v>
      </c>
      <c r="OK30" s="90">
        <f t="shared" si="221"/>
        <v>1886</v>
      </c>
      <c r="OL30" s="90">
        <f t="shared" si="222"/>
        <v>5.27</v>
      </c>
      <c r="OM30" s="90">
        <f t="shared" si="223"/>
        <v>1.5700000000000003</v>
      </c>
      <c r="ON30" s="90">
        <v>2020.25</v>
      </c>
      <c r="OO30" s="90">
        <f t="shared" si="224"/>
        <v>5.64</v>
      </c>
      <c r="OP30" s="90">
        <v>2021.96</v>
      </c>
      <c r="OQ30" s="90">
        <v>5.64</v>
      </c>
      <c r="OR30" s="90">
        <f t="shared" si="225"/>
        <v>0</v>
      </c>
      <c r="OS30" s="90">
        <f t="shared" si="226"/>
        <v>5.64</v>
      </c>
      <c r="OT30" s="90">
        <v>2020.25</v>
      </c>
      <c r="OU30" s="90">
        <f t="shared" si="227"/>
        <v>5.64</v>
      </c>
      <c r="OV30" s="97">
        <v>1662.05</v>
      </c>
      <c r="OW30" s="90">
        <f t="shared" si="228"/>
        <v>1705.03</v>
      </c>
      <c r="OX30" s="90">
        <f t="shared" si="229"/>
        <v>4.76</v>
      </c>
      <c r="OY30" s="90">
        <f>OU30-1+0.12</f>
        <v>4.76</v>
      </c>
      <c r="OZ30" s="90"/>
      <c r="PA30" s="90"/>
      <c r="PB30" s="95">
        <f t="shared" si="230"/>
        <v>0</v>
      </c>
      <c r="PC30" s="92">
        <f t="shared" si="231"/>
        <v>0</v>
      </c>
      <c r="PD30" s="90"/>
      <c r="PE30" s="95">
        <f t="shared" si="232"/>
        <v>0</v>
      </c>
      <c r="PF30" s="90">
        <f t="shared" si="233"/>
        <v>4820.0650000000005</v>
      </c>
      <c r="PG30" s="90">
        <f t="shared" si="234"/>
        <v>13.46</v>
      </c>
      <c r="PH30" s="90">
        <f t="shared" si="235"/>
        <v>5921.8166666666666</v>
      </c>
      <c r="PI30" s="90">
        <f t="shared" si="236"/>
        <v>16.53</v>
      </c>
      <c r="PJ30" s="90">
        <f t="shared" si="237"/>
        <v>5921.8166666666666</v>
      </c>
      <c r="PK30" s="90">
        <f t="shared" si="238"/>
        <v>16.53</v>
      </c>
      <c r="PL30" s="90"/>
      <c r="PM30" s="90">
        <f t="shared" si="239"/>
        <v>144.6</v>
      </c>
      <c r="PN30" s="90">
        <f t="shared" si="240"/>
        <v>0.4</v>
      </c>
      <c r="PO30" s="92">
        <f t="shared" si="241"/>
        <v>1735.1999999999998</v>
      </c>
      <c r="PP30" s="90">
        <f t="shared" si="242"/>
        <v>177.65</v>
      </c>
      <c r="PQ30" s="90">
        <f t="shared" si="243"/>
        <v>0.5</v>
      </c>
      <c r="PR30" s="90">
        <f t="shared" si="244"/>
        <v>177.65</v>
      </c>
      <c r="PS30" s="90">
        <f t="shared" si="245"/>
        <v>0.5</v>
      </c>
      <c r="PT30" s="90">
        <f t="shared" si="246"/>
        <v>4964.6650000000009</v>
      </c>
      <c r="PU30" s="90">
        <f t="shared" si="247"/>
        <v>13.86</v>
      </c>
      <c r="PV30" s="90">
        <f t="shared" si="248"/>
        <v>6099.4666666666662</v>
      </c>
      <c r="PW30" s="90">
        <f t="shared" si="249"/>
        <v>17.03</v>
      </c>
      <c r="PX30" s="90">
        <f t="shared" si="250"/>
        <v>6099.4666666666662</v>
      </c>
      <c r="PY30" s="90">
        <f t="shared" si="251"/>
        <v>17.03</v>
      </c>
      <c r="PZ30" s="90">
        <f t="shared" si="252"/>
        <v>50.15</v>
      </c>
      <c r="QA30" s="90">
        <f t="shared" si="253"/>
        <v>0.14000000000000001</v>
      </c>
      <c r="QB30" s="92">
        <f t="shared" si="254"/>
        <v>601.79999999999995</v>
      </c>
      <c r="QC30" s="90">
        <f t="shared" si="255"/>
        <v>61.61</v>
      </c>
      <c r="QD30" s="90">
        <f t="shared" si="256"/>
        <v>0.17</v>
      </c>
      <c r="QE30" s="90">
        <f t="shared" si="257"/>
        <v>61.61</v>
      </c>
      <c r="QF30" s="90">
        <f t="shared" si="258"/>
        <v>0.17</v>
      </c>
      <c r="QG30" s="90">
        <f t="shared" si="259"/>
        <v>5014.8150000000005</v>
      </c>
      <c r="QH30" s="90">
        <f t="shared" si="260"/>
        <v>14</v>
      </c>
      <c r="QI30" s="92">
        <f t="shared" si="261"/>
        <v>60177.780000000006</v>
      </c>
      <c r="QJ30" s="90">
        <f t="shared" si="262"/>
        <v>229.14673287276918</v>
      </c>
      <c r="QK30" s="98">
        <f t="shared" si="263"/>
        <v>0.25169999999999998</v>
      </c>
      <c r="QL30" s="90">
        <f t="shared" si="264"/>
        <v>90.158939999999987</v>
      </c>
      <c r="QM30" s="90">
        <f t="shared" si="265"/>
        <v>0.31859999999999999</v>
      </c>
      <c r="QN30" s="90">
        <f t="shared" si="266"/>
        <v>114.12251999999999</v>
      </c>
      <c r="QO30" s="90">
        <v>0.25169999999999998</v>
      </c>
      <c r="QP30" s="90">
        <v>0.31859999999999999</v>
      </c>
      <c r="QQ30" s="97">
        <f t="shared" si="267"/>
        <v>204.28145999999998</v>
      </c>
      <c r="QR30" s="97">
        <v>204.28145999999998</v>
      </c>
      <c r="QS30" s="97">
        <f t="shared" si="268"/>
        <v>0</v>
      </c>
      <c r="QT30" s="90"/>
      <c r="QU30" s="90">
        <f t="shared" si="269"/>
        <v>0.31859999999999999</v>
      </c>
      <c r="QV30" s="90">
        <f t="shared" si="270"/>
        <v>114.12251999999999</v>
      </c>
      <c r="QW30" s="90">
        <f t="shared" si="271"/>
        <v>204.28145999999998</v>
      </c>
      <c r="QX30" s="90">
        <f t="shared" si="272"/>
        <v>0.57029999999999992</v>
      </c>
      <c r="QY30" s="90"/>
      <c r="QZ30" s="90"/>
      <c r="RA30" s="90"/>
      <c r="RB30" s="90">
        <v>1333.1</v>
      </c>
      <c r="RC30" s="97">
        <f t="shared" si="273"/>
        <v>5014.8150000000005</v>
      </c>
      <c r="RD30" s="97">
        <f t="shared" si="274"/>
        <v>14</v>
      </c>
      <c r="RE30" s="90">
        <f t="shared" si="275"/>
        <v>6161.0766666666659</v>
      </c>
      <c r="RF30" s="90">
        <f t="shared" si="276"/>
        <v>17.2</v>
      </c>
      <c r="RG30" s="90">
        <f t="shared" si="277"/>
        <v>122.85714285714285</v>
      </c>
      <c r="RH30" s="90">
        <f t="shared" si="278"/>
        <v>6161.0766666666659</v>
      </c>
      <c r="RI30" s="90">
        <f t="shared" si="279"/>
        <v>17.2</v>
      </c>
      <c r="RJ30" s="90">
        <v>16.82</v>
      </c>
      <c r="RK30" s="90">
        <v>0</v>
      </c>
      <c r="RL30" s="90">
        <f t="shared" si="280"/>
        <v>0.37999999999999901</v>
      </c>
      <c r="RM30" s="90">
        <f t="shared" si="281"/>
        <v>106.69975186104219</v>
      </c>
      <c r="RN30" s="90">
        <f t="shared" si="282"/>
        <v>3442.2550000000001</v>
      </c>
      <c r="RO30" s="90"/>
      <c r="RP30" s="90"/>
      <c r="RQ30" s="99">
        <v>626</v>
      </c>
      <c r="RR30" s="90">
        <f t="shared" si="283"/>
        <v>3556.9450000000002</v>
      </c>
      <c r="RS30" s="90">
        <f t="shared" si="284"/>
        <v>9.9300530429927427</v>
      </c>
      <c r="RT30" s="90">
        <f>11.28+20.58</f>
        <v>31.86</v>
      </c>
      <c r="RU30" s="90">
        <f t="shared" si="285"/>
        <v>11412.251999999999</v>
      </c>
      <c r="RV30" s="90">
        <f t="shared" si="286"/>
        <v>0.63971728886870238</v>
      </c>
      <c r="RW30" s="90">
        <v>10.43</v>
      </c>
      <c r="RX30" s="90">
        <f t="shared" si="287"/>
        <v>10.951499999999999</v>
      </c>
      <c r="RY30" s="90">
        <f t="shared" si="288"/>
        <v>3922.8272999999995</v>
      </c>
      <c r="RZ30" s="90">
        <f t="shared" si="289"/>
        <v>1034.9247361928897</v>
      </c>
      <c r="SA30" s="90">
        <f t="shared" si="290"/>
        <v>463.0223074495637</v>
      </c>
      <c r="SB30" s="90">
        <f t="shared" si="291"/>
        <v>700.13674787027378</v>
      </c>
      <c r="SC30" s="90">
        <f t="shared" si="292"/>
        <v>1272.0391766135995</v>
      </c>
      <c r="SD30" s="90">
        <f t="shared" si="293"/>
        <v>1272.0391766135997</v>
      </c>
      <c r="SE30" s="90">
        <f t="shared" si="294"/>
        <v>1291.2022590418762</v>
      </c>
      <c r="SF30" s="90">
        <f t="shared" si="295"/>
        <v>1271.9664717333565</v>
      </c>
      <c r="SG30" s="90">
        <f t="shared" si="296"/>
        <v>7.2704880243009029E-2</v>
      </c>
      <c r="SH30" s="90">
        <f t="shared" si="297"/>
        <v>1272.0391760171965</v>
      </c>
      <c r="SI30" s="90">
        <f t="shared" si="298"/>
        <v>3.5511981479999992</v>
      </c>
      <c r="SJ30" s="90">
        <f t="shared" si="299"/>
        <v>3.5509951751349984</v>
      </c>
      <c r="SK30" s="90"/>
      <c r="SL30" s="90"/>
      <c r="SM30" s="90"/>
      <c r="SN30" s="90">
        <f t="shared" si="300"/>
        <v>1361.85</v>
      </c>
      <c r="SO30" s="90" t="e">
        <f>RU30-#REF!-#REF!-HZ30-LT30-LZ30-MF30-ML30-QL30-QN30-SD30</f>
        <v>#REF!</v>
      </c>
      <c r="SP30" s="90">
        <f t="shared" si="301"/>
        <v>1333.1</v>
      </c>
      <c r="SQ30" s="90">
        <f t="shared" si="302"/>
        <v>1404.1400000000003</v>
      </c>
      <c r="SR30" s="90">
        <f t="shared" si="303"/>
        <v>3.7216638749302065</v>
      </c>
      <c r="SS30" s="90">
        <f t="shared" si="304"/>
        <v>3.9199888330541608</v>
      </c>
      <c r="ST30" s="90">
        <f t="shared" si="305"/>
        <v>1409.4939999999999</v>
      </c>
      <c r="SU30" s="90">
        <v>3.7216638749302065</v>
      </c>
      <c r="SV30" s="90">
        <f t="shared" si="306"/>
        <v>3.93</v>
      </c>
      <c r="SW30" s="90">
        <v>3.92</v>
      </c>
      <c r="SX30" s="90">
        <f t="shared" si="307"/>
        <v>1404.14</v>
      </c>
      <c r="SY30" s="90">
        <v>3.7216638749302065</v>
      </c>
      <c r="SZ30" s="90">
        <f t="shared" si="308"/>
        <v>1333.1</v>
      </c>
      <c r="TA30" s="90">
        <f t="shared" si="309"/>
        <v>0</v>
      </c>
      <c r="TB30" s="90">
        <v>0</v>
      </c>
      <c r="TC30" s="90">
        <f t="shared" si="310"/>
        <v>8116.9755399999995</v>
      </c>
      <c r="TD30" s="90" t="e">
        <f>#REF!+#REF!</f>
        <v>#REF!</v>
      </c>
      <c r="TE30" s="90" t="e">
        <f t="shared" si="311"/>
        <v>#REF!</v>
      </c>
      <c r="TF30" s="90">
        <v>8067.1405399999967</v>
      </c>
      <c r="TG30" s="90">
        <f t="shared" si="312"/>
        <v>71.125099060203027</v>
      </c>
      <c r="TH30" s="95"/>
      <c r="TI30" s="95"/>
      <c r="TJ30" s="95"/>
      <c r="TK30" s="95"/>
      <c r="TL30" s="95"/>
      <c r="TM30" s="95">
        <f t="shared" si="313"/>
        <v>0</v>
      </c>
      <c r="TN30" s="95">
        <f t="shared" si="314"/>
        <v>11412.251999999999</v>
      </c>
      <c r="TO30" s="95">
        <f t="shared" si="315"/>
        <v>71.125099060203027</v>
      </c>
      <c r="TP30" s="95"/>
      <c r="TQ30" s="95">
        <f t="shared" si="316"/>
        <v>31.86</v>
      </c>
      <c r="TR30" s="95"/>
      <c r="TS30" s="95"/>
      <c r="TT30" s="95"/>
      <c r="TU30" s="95"/>
      <c r="TV30" s="95"/>
      <c r="TW30" s="95"/>
      <c r="TX30" s="95"/>
      <c r="TY30" s="95"/>
      <c r="TZ30" s="95">
        <f t="shared" si="317"/>
        <v>1.7900188323917134</v>
      </c>
      <c r="UA30" s="95">
        <f t="shared" si="318"/>
        <v>1.4018400000000002</v>
      </c>
      <c r="UB30" s="90">
        <v>0</v>
      </c>
      <c r="UC30" s="90">
        <f t="shared" si="319"/>
        <v>0</v>
      </c>
      <c r="UD30" s="90">
        <f t="shared" si="320"/>
        <v>0</v>
      </c>
      <c r="UE30" s="90">
        <f t="shared" si="321"/>
        <v>0</v>
      </c>
      <c r="UF30" s="90">
        <f t="shared" si="322"/>
        <v>11412.251999999999</v>
      </c>
      <c r="UG30" s="91">
        <f t="shared" si="323"/>
        <v>0</v>
      </c>
      <c r="UH30" s="95">
        <f t="shared" si="324"/>
        <v>71.125099060203027</v>
      </c>
      <c r="UI30" s="95">
        <f t="shared" si="325"/>
        <v>11412.251999999999</v>
      </c>
      <c r="UJ30" s="101">
        <f t="shared" si="326"/>
        <v>0</v>
      </c>
      <c r="UK30" s="101">
        <f t="shared" si="327"/>
        <v>71.125099060203027</v>
      </c>
      <c r="UL30" s="90" t="e">
        <f>(#REF!+#REF!+HZ30+LT30+LZ30+MF30+ML30+QL30+QN30+SN30+TC30+TM30+UC30)/I30</f>
        <v>#REF!</v>
      </c>
      <c r="UN30" s="90" t="e">
        <f>#REF!/I30</f>
        <v>#REF!</v>
      </c>
      <c r="UO30" s="90" t="e">
        <f>#REF!/I30</f>
        <v>#REF!</v>
      </c>
      <c r="UP30" s="90">
        <v>1.1499999999999999</v>
      </c>
      <c r="UQ30" s="90" t="e">
        <f t="shared" si="328"/>
        <v>#REF!</v>
      </c>
      <c r="UR30" s="90">
        <f t="shared" si="329"/>
        <v>3556.9450000000002</v>
      </c>
      <c r="US30" s="90">
        <f t="shared" si="330"/>
        <v>4190.7349999999988</v>
      </c>
      <c r="UT30" s="90">
        <f t="shared" si="331"/>
        <v>4190.7349999999988</v>
      </c>
      <c r="UU30" s="90">
        <f t="shared" si="516"/>
        <v>4355.5049999999992</v>
      </c>
      <c r="UV30" s="90">
        <f t="shared" si="333"/>
        <v>4291.2766666666657</v>
      </c>
      <c r="UW30" s="90">
        <f t="shared" si="334"/>
        <v>5.75</v>
      </c>
      <c r="UX30" s="90">
        <f t="shared" si="335"/>
        <v>3.92</v>
      </c>
      <c r="UY30" s="90">
        <f t="shared" si="336"/>
        <v>3.8019262981574538</v>
      </c>
      <c r="UZ30" s="100">
        <f t="shared" si="337"/>
        <v>3.5511981479999992</v>
      </c>
      <c r="VA30" s="90">
        <f t="shared" si="338"/>
        <v>0.63</v>
      </c>
      <c r="VB30" s="90">
        <f t="shared" si="339"/>
        <v>1.2</v>
      </c>
      <c r="VC30" s="90">
        <f t="shared" si="340"/>
        <v>0</v>
      </c>
      <c r="VD30" s="90">
        <f t="shared" si="341"/>
        <v>0</v>
      </c>
      <c r="VE30" s="90">
        <f t="shared" si="342"/>
        <v>0</v>
      </c>
      <c r="VF30" s="90">
        <f t="shared" si="343"/>
        <v>0</v>
      </c>
      <c r="VG30" s="90">
        <f t="shared" si="344"/>
        <v>0</v>
      </c>
      <c r="VH30" s="90">
        <f t="shared" si="345"/>
        <v>0</v>
      </c>
      <c r="VI30" s="90">
        <f t="shared" si="346"/>
        <v>0</v>
      </c>
      <c r="VJ30" s="90">
        <f t="shared" si="347"/>
        <v>0</v>
      </c>
      <c r="VK30" s="90">
        <f t="shared" si="348"/>
        <v>0.59</v>
      </c>
      <c r="VL30" s="90">
        <f t="shared" si="349"/>
        <v>3.64</v>
      </c>
      <c r="VM30" s="90">
        <f t="shared" si="350"/>
        <v>4.07</v>
      </c>
      <c r="VN30" s="90">
        <f t="shared" si="351"/>
        <v>0</v>
      </c>
      <c r="VO30" s="90">
        <f t="shared" si="352"/>
        <v>4.07</v>
      </c>
      <c r="VP30" s="97">
        <v>0</v>
      </c>
      <c r="VQ30" s="97">
        <v>22.46</v>
      </c>
      <c r="VR30" s="90">
        <f t="shared" si="353"/>
        <v>0.4</v>
      </c>
      <c r="VS30" s="90">
        <f t="shared" si="354"/>
        <v>0.14000000000000001</v>
      </c>
      <c r="VT30" s="90">
        <v>0.11989898989898991</v>
      </c>
      <c r="VU30" s="90">
        <f t="shared" si="355"/>
        <v>0.14000000000000001</v>
      </c>
      <c r="VV30" s="90">
        <v>0.38175323599898991</v>
      </c>
      <c r="VW30" s="90">
        <f t="shared" si="356"/>
        <v>0.54</v>
      </c>
      <c r="VX30" s="90">
        <f t="shared" si="357"/>
        <v>14</v>
      </c>
      <c r="VY30" s="90">
        <f t="shared" si="358"/>
        <v>14</v>
      </c>
      <c r="VZ30" s="90">
        <f t="shared" si="359"/>
        <v>0</v>
      </c>
      <c r="WA30" s="90"/>
      <c r="WB30" s="90">
        <f t="shared" si="360"/>
        <v>14</v>
      </c>
      <c r="WC30" s="90">
        <f t="shared" si="361"/>
        <v>0</v>
      </c>
      <c r="WD30" s="90"/>
      <c r="WE30" s="90">
        <v>33.14</v>
      </c>
      <c r="WF30" s="90"/>
      <c r="WG30" s="90">
        <f t="shared" si="362"/>
        <v>5014.8</v>
      </c>
      <c r="WH30" s="90">
        <f t="shared" si="363"/>
        <v>5014.8</v>
      </c>
      <c r="WI30" s="90">
        <f t="shared" si="364"/>
        <v>5014.8150000000005</v>
      </c>
      <c r="WJ30" s="90">
        <f t="shared" si="365"/>
        <v>3556.9450000000002</v>
      </c>
      <c r="WK30" s="97">
        <v>8045.17</v>
      </c>
      <c r="WL30" s="97">
        <v>22.46</v>
      </c>
      <c r="WM30" s="90">
        <f t="shared" si="366"/>
        <v>8045.17</v>
      </c>
      <c r="WN30" s="90">
        <f t="shared" si="367"/>
        <v>22.46</v>
      </c>
      <c r="WO30" s="90"/>
      <c r="WP30" s="97">
        <v>33.14</v>
      </c>
      <c r="WQ30" s="90">
        <f t="shared" si="368"/>
        <v>14</v>
      </c>
      <c r="WR30" s="91">
        <f t="shared" si="369"/>
        <v>43.942247332077841</v>
      </c>
      <c r="WS30" s="91">
        <f t="shared" si="370"/>
        <v>124.11347517730495</v>
      </c>
      <c r="WT30" s="90">
        <f t="shared" si="371"/>
        <v>11870.75</v>
      </c>
      <c r="WU30" s="90">
        <f t="shared" si="372"/>
        <v>5014.8150000000005</v>
      </c>
      <c r="WV30" s="90">
        <f t="shared" si="373"/>
        <v>6855.9349999999995</v>
      </c>
      <c r="WW30" s="90">
        <v>20.58</v>
      </c>
      <c r="WX30" s="90"/>
      <c r="WY30" s="90"/>
      <c r="WZ30" s="90">
        <f t="shared" si="374"/>
        <v>22.939397979797977</v>
      </c>
      <c r="XA30" s="90">
        <v>0</v>
      </c>
      <c r="XB30" s="90">
        <f t="shared" si="375"/>
        <v>22.939397979797977</v>
      </c>
      <c r="XC30" s="90">
        <f t="shared" si="376"/>
        <v>1.0104</v>
      </c>
      <c r="XD30" s="90">
        <f t="shared" si="377"/>
        <v>0.34020202020202017</v>
      </c>
      <c r="XE30" s="90"/>
      <c r="XF30" s="90">
        <f t="shared" si="378"/>
        <v>33.68</v>
      </c>
      <c r="XG30" s="90">
        <v>22.521330374092678</v>
      </c>
      <c r="XH30" s="20">
        <v>31.86</v>
      </c>
      <c r="XI30" s="20">
        <v>0</v>
      </c>
      <c r="XJ30" s="20"/>
      <c r="XK30" s="20"/>
      <c r="XL30" s="20"/>
      <c r="XM30" s="20">
        <f t="shared" si="379"/>
        <v>31.86</v>
      </c>
      <c r="XN30" s="91">
        <f t="shared" si="380"/>
        <v>43.942247332077841</v>
      </c>
      <c r="XO30" s="20">
        <f t="shared" si="381"/>
        <v>31.86</v>
      </c>
      <c r="XP30" s="90">
        <f t="shared" si="382"/>
        <v>11.280000000000001</v>
      </c>
      <c r="XQ30" s="91">
        <f t="shared" si="383"/>
        <v>43.942247332077841</v>
      </c>
      <c r="XR30" s="102"/>
      <c r="XS30" s="90">
        <f t="shared" si="384"/>
        <v>3.64</v>
      </c>
      <c r="XT30" s="90">
        <f t="shared" si="385"/>
        <v>5.75</v>
      </c>
      <c r="XU30" s="90">
        <f t="shared" si="386"/>
        <v>3.92</v>
      </c>
      <c r="XV30" s="90">
        <f t="shared" si="387"/>
        <v>0.63</v>
      </c>
      <c r="XW30" s="90">
        <f t="shared" si="388"/>
        <v>0.63</v>
      </c>
      <c r="XX30" s="90">
        <f t="shared" si="389"/>
        <v>0</v>
      </c>
      <c r="XY30" s="90">
        <f t="shared" si="390"/>
        <v>1.2</v>
      </c>
      <c r="XZ30" s="90">
        <f t="shared" si="391"/>
        <v>0</v>
      </c>
      <c r="YA30" s="90">
        <f t="shared" si="392"/>
        <v>0</v>
      </c>
      <c r="YB30" s="90">
        <f t="shared" si="537"/>
        <v>0</v>
      </c>
      <c r="YC30" s="90">
        <f t="shared" si="537"/>
        <v>0</v>
      </c>
      <c r="YD30" s="90">
        <f t="shared" si="394"/>
        <v>1.2</v>
      </c>
      <c r="YE30" s="90">
        <f t="shared" si="395"/>
        <v>4.07</v>
      </c>
      <c r="YF30" s="90">
        <f t="shared" si="396"/>
        <v>0.54</v>
      </c>
      <c r="YG30" s="90">
        <f t="shared" si="397"/>
        <v>14</v>
      </c>
      <c r="YI30" s="103" t="s">
        <v>442</v>
      </c>
      <c r="YK30" s="90">
        <f t="shared" si="398"/>
        <v>1.07</v>
      </c>
      <c r="YL30" s="90">
        <f t="shared" si="538"/>
        <v>0.63</v>
      </c>
      <c r="YM30" s="90">
        <f t="shared" si="538"/>
        <v>1.2</v>
      </c>
      <c r="YN30" s="90">
        <f t="shared" si="400"/>
        <v>3.64</v>
      </c>
      <c r="YO30" s="90">
        <f t="shared" si="401"/>
        <v>7.46</v>
      </c>
      <c r="YP30" s="90">
        <f t="shared" si="402"/>
        <v>0</v>
      </c>
      <c r="YQ30" s="90">
        <f t="shared" si="403"/>
        <v>14</v>
      </c>
      <c r="YR30" s="90">
        <f t="shared" si="404"/>
        <v>0</v>
      </c>
      <c r="YS30" s="104">
        <f t="shared" si="405"/>
        <v>14</v>
      </c>
      <c r="YT30" s="104">
        <f t="shared" si="406"/>
        <v>0</v>
      </c>
      <c r="YY30" s="90">
        <f t="shared" si="407"/>
        <v>6.92</v>
      </c>
      <c r="YZ30" s="90">
        <f t="shared" si="408"/>
        <v>4.18</v>
      </c>
      <c r="ZA30" s="90">
        <f t="shared" si="409"/>
        <v>0.56000000000000005</v>
      </c>
      <c r="ZB30" s="90">
        <f t="shared" si="410"/>
        <v>2.1800000000000002</v>
      </c>
      <c r="ZC30" s="90">
        <f t="shared" si="411"/>
        <v>0</v>
      </c>
      <c r="ZD30" s="90">
        <f t="shared" si="412"/>
        <v>0</v>
      </c>
      <c r="ZE30" s="90">
        <f t="shared" si="413"/>
        <v>0</v>
      </c>
      <c r="ZF30" s="90">
        <f t="shared" si="414"/>
        <v>0</v>
      </c>
      <c r="ZG30" s="90">
        <f t="shared" si="415"/>
        <v>0</v>
      </c>
      <c r="ZH30" s="90">
        <f t="shared" si="416"/>
        <v>0</v>
      </c>
      <c r="ZI30" s="90">
        <f t="shared" si="417"/>
        <v>0</v>
      </c>
      <c r="ZJ30" s="90">
        <f t="shared" si="418"/>
        <v>0</v>
      </c>
      <c r="ZK30" s="90">
        <f t="shared" si="419"/>
        <v>0</v>
      </c>
      <c r="ZL30" s="90">
        <f t="shared" si="420"/>
        <v>0.03</v>
      </c>
      <c r="ZM30" s="90">
        <f t="shared" si="421"/>
        <v>4.1100000000000003</v>
      </c>
      <c r="ZN30" s="90">
        <f t="shared" si="422"/>
        <v>6.9399999999999995</v>
      </c>
      <c r="ZO30" s="90">
        <f t="shared" si="423"/>
        <v>5.27</v>
      </c>
      <c r="ZP30" s="90">
        <f t="shared" si="424"/>
        <v>4.76</v>
      </c>
      <c r="ZQ30" s="90">
        <f t="shared" si="425"/>
        <v>0</v>
      </c>
      <c r="ZR30" s="90">
        <f t="shared" si="426"/>
        <v>4.76</v>
      </c>
      <c r="ZS30" s="97">
        <v>227</v>
      </c>
      <c r="ZT30" s="97">
        <v>230.38</v>
      </c>
      <c r="ZU30" s="90">
        <f t="shared" si="427"/>
        <v>0.5</v>
      </c>
      <c r="ZV30" s="90">
        <f t="shared" si="428"/>
        <v>0.17</v>
      </c>
      <c r="ZW30" s="90">
        <v>0.11989898989898991</v>
      </c>
      <c r="ZX30" s="90">
        <f t="shared" si="429"/>
        <v>0.16460000000000002</v>
      </c>
      <c r="ZY30" s="90">
        <v>0.38175323599898991</v>
      </c>
      <c r="ZZ30" s="90">
        <f t="shared" si="430"/>
        <v>0.67</v>
      </c>
      <c r="AAA30" s="90">
        <f t="shared" si="431"/>
        <v>16.46</v>
      </c>
      <c r="AAB30" s="90">
        <f t="shared" si="432"/>
        <v>16.46</v>
      </c>
      <c r="AAC30" s="90">
        <f t="shared" si="433"/>
        <v>0</v>
      </c>
      <c r="AAD30" s="90"/>
      <c r="AAE30" s="90">
        <f t="shared" si="434"/>
        <v>16.46</v>
      </c>
      <c r="AAF30" s="90">
        <v>14</v>
      </c>
      <c r="AAG30" s="90">
        <f t="shared" si="435"/>
        <v>117.57142857142857</v>
      </c>
      <c r="AAH30" s="90">
        <f t="shared" si="436"/>
        <v>0</v>
      </c>
      <c r="AAI30" s="90">
        <v>0</v>
      </c>
      <c r="AAJ30" s="90"/>
      <c r="AAK30" s="1">
        <v>16.12</v>
      </c>
      <c r="AAL30" s="104">
        <f t="shared" si="437"/>
        <v>0.33999999999999986</v>
      </c>
      <c r="AAM30" s="103" t="s">
        <v>500</v>
      </c>
      <c r="AAN30" s="105">
        <v>6.9499999999999993</v>
      </c>
      <c r="AAO30" s="90">
        <f t="shared" si="438"/>
        <v>7.6599999999999993</v>
      </c>
      <c r="AAP30" s="90">
        <v>4.21</v>
      </c>
      <c r="AAQ30" s="90">
        <f t="shared" si="439"/>
        <v>4.18</v>
      </c>
      <c r="AAR30" s="90">
        <v>0.56000000000000005</v>
      </c>
      <c r="AAS30" s="90">
        <f t="shared" si="440"/>
        <v>0.84</v>
      </c>
      <c r="AAT30" s="90">
        <f t="shared" si="441"/>
        <v>149.99999999999997</v>
      </c>
      <c r="AAU30" s="90">
        <v>2.1800000000000002</v>
      </c>
      <c r="AAV30" s="90">
        <f t="shared" si="442"/>
        <v>2.1800000000000002</v>
      </c>
      <c r="AAW30" s="90">
        <f t="shared" si="443"/>
        <v>100</v>
      </c>
      <c r="AAX30" s="90">
        <f t="shared" si="444"/>
        <v>0.46</v>
      </c>
      <c r="AAY30" s="90">
        <f t="shared" si="445"/>
        <v>0</v>
      </c>
      <c r="AAZ30" s="90">
        <f t="shared" si="446"/>
        <v>0</v>
      </c>
      <c r="ABA30" s="90">
        <f t="shared" si="447"/>
        <v>0</v>
      </c>
      <c r="ABB30" s="90">
        <f t="shared" si="448"/>
        <v>0</v>
      </c>
      <c r="ABC30" s="90">
        <v>0</v>
      </c>
      <c r="ABD30" s="90">
        <f t="shared" si="449"/>
        <v>0</v>
      </c>
      <c r="ABE30" s="90"/>
      <c r="ABF30" s="90">
        <v>0</v>
      </c>
      <c r="ABG30" s="90">
        <f t="shared" si="450"/>
        <v>0</v>
      </c>
      <c r="ABH30" s="90"/>
      <c r="ABI30" s="90">
        <f t="shared" si="451"/>
        <v>0</v>
      </c>
      <c r="ABJ30" s="90">
        <f t="shared" si="452"/>
        <v>0</v>
      </c>
      <c r="ABK30" s="90">
        <v>0</v>
      </c>
      <c r="ABL30" s="90">
        <f t="shared" si="453"/>
        <v>0</v>
      </c>
      <c r="ABM30" s="90">
        <f t="shared" si="454"/>
        <v>0</v>
      </c>
      <c r="ABN30" s="90">
        <f t="shared" si="455"/>
        <v>0.02</v>
      </c>
      <c r="ABO30" s="90">
        <v>3.91</v>
      </c>
      <c r="ABP30" s="90">
        <f t="shared" si="456"/>
        <v>4.1100000000000003</v>
      </c>
      <c r="ABQ30" s="90">
        <f t="shared" si="457"/>
        <v>105.1150895140665</v>
      </c>
      <c r="ABR30" s="90">
        <f t="shared" si="458"/>
        <v>6.9399999999999995</v>
      </c>
      <c r="ABS30" s="90">
        <f t="shared" si="459"/>
        <v>5.27</v>
      </c>
      <c r="ABT30" s="90">
        <v>4.6399999999999997</v>
      </c>
      <c r="ABU30" s="90">
        <f t="shared" si="460"/>
        <v>4.76</v>
      </c>
      <c r="ABV30" s="90">
        <f t="shared" si="461"/>
        <v>102.58620689655173</v>
      </c>
      <c r="ABW30" s="90">
        <f t="shared" si="462"/>
        <v>0.01</v>
      </c>
      <c r="ABX30" s="90">
        <f t="shared" si="463"/>
        <v>4.7699999999999996</v>
      </c>
      <c r="ABY30" s="97">
        <v>227</v>
      </c>
      <c r="ABZ30" s="97">
        <v>230.38</v>
      </c>
      <c r="ACA30" s="90">
        <f t="shared" si="464"/>
        <v>0.5</v>
      </c>
      <c r="ACB30" s="90">
        <f t="shared" si="465"/>
        <v>0.17</v>
      </c>
      <c r="ACC30" s="90">
        <v>0.11989898989898991</v>
      </c>
      <c r="ACD30" s="90">
        <f t="shared" si="466"/>
        <v>0.16750000000000004</v>
      </c>
      <c r="ACE30" s="90">
        <v>0.38175323599898991</v>
      </c>
      <c r="ACF30" s="90">
        <v>0.62</v>
      </c>
      <c r="ACG30" s="90">
        <f t="shared" si="467"/>
        <v>0.67</v>
      </c>
      <c r="ACH30" s="90">
        <f t="shared" si="468"/>
        <v>108.06451612903227</v>
      </c>
      <c r="ACI30" s="90">
        <f t="shared" si="469"/>
        <v>17.200000000000003</v>
      </c>
      <c r="ACJ30" s="90">
        <f t="shared" si="470"/>
        <v>16.750000000000004</v>
      </c>
      <c r="ACK30" s="90">
        <f t="shared" si="471"/>
        <v>-0.44999999999999929</v>
      </c>
      <c r="ACL30" s="90"/>
      <c r="ACM30" s="90">
        <f t="shared" si="472"/>
        <v>17.200000000000003</v>
      </c>
      <c r="ACN30" s="90">
        <f t="shared" si="473"/>
        <v>0</v>
      </c>
      <c r="ACO30" s="90">
        <f t="shared" si="474"/>
        <v>17.200000000000003</v>
      </c>
      <c r="ACP30" s="90">
        <v>16.12</v>
      </c>
      <c r="ACQ30" s="90">
        <f t="shared" si="475"/>
        <v>106.69975186104219</v>
      </c>
      <c r="ACR30" s="90">
        <f t="shared" si="476"/>
        <v>0</v>
      </c>
      <c r="ACS30" s="90">
        <v>0</v>
      </c>
      <c r="ACT30" s="90"/>
      <c r="ACU30" s="90">
        <f t="shared" si="477"/>
        <v>16.942119999999999</v>
      </c>
      <c r="ACV30" s="90">
        <f t="shared" si="478"/>
        <v>-0.25788000000000366</v>
      </c>
      <c r="ACX30" s="106" t="s">
        <v>439</v>
      </c>
      <c r="ACY30" s="107">
        <v>60000</v>
      </c>
      <c r="ACZ30" s="107">
        <v>60000</v>
      </c>
      <c r="ADB30" s="90">
        <f t="shared" si="479"/>
        <v>4.1100000000000003</v>
      </c>
      <c r="ADC30" s="90">
        <f t="shared" si="480"/>
        <v>7.66</v>
      </c>
      <c r="ADD30" s="90">
        <f t="shared" si="481"/>
        <v>4.18</v>
      </c>
      <c r="ADE30" s="90">
        <f t="shared" si="517"/>
        <v>1.3</v>
      </c>
      <c r="ADF30" s="90">
        <f t="shared" si="483"/>
        <v>0.84</v>
      </c>
      <c r="ADG30" s="90">
        <f t="shared" si="539"/>
        <v>0.46</v>
      </c>
      <c r="ADH30" s="90">
        <f t="shared" si="539"/>
        <v>0</v>
      </c>
      <c r="ADI30" s="90">
        <f t="shared" si="539"/>
        <v>0</v>
      </c>
      <c r="ADJ30" s="90">
        <f t="shared" si="485"/>
        <v>2.1800000000000002</v>
      </c>
      <c r="ADK30" s="90">
        <f t="shared" si="486"/>
        <v>0</v>
      </c>
      <c r="ADL30" s="90">
        <f t="shared" si="487"/>
        <v>0</v>
      </c>
      <c r="ADM30" s="90">
        <f t="shared" si="540"/>
        <v>0</v>
      </c>
      <c r="ADN30" s="90">
        <f t="shared" si="540"/>
        <v>0</v>
      </c>
      <c r="ADO30" s="90">
        <f t="shared" si="489"/>
        <v>2.1800000000000002</v>
      </c>
      <c r="ADP30" s="90">
        <f t="shared" si="490"/>
        <v>4.76</v>
      </c>
      <c r="ADQ30" s="90">
        <f t="shared" si="491"/>
        <v>0.67</v>
      </c>
      <c r="ADR30" s="90">
        <f t="shared" si="492"/>
        <v>17.200000000000003</v>
      </c>
      <c r="ADU30" s="90">
        <f t="shared" si="493"/>
        <v>1.1499999999999999</v>
      </c>
      <c r="ADV30" s="90">
        <f t="shared" si="494"/>
        <v>0.84</v>
      </c>
      <c r="ADW30" s="90">
        <f t="shared" si="495"/>
        <v>2.1800000000000002</v>
      </c>
      <c r="ADX30" s="90">
        <f t="shared" si="496"/>
        <v>4.1100000000000003</v>
      </c>
      <c r="ADY30" s="90">
        <f t="shared" si="497"/>
        <v>8.4599999999999991</v>
      </c>
      <c r="ADZ30" s="90">
        <f t="shared" si="498"/>
        <v>0</v>
      </c>
      <c r="AEA30" s="90">
        <f t="shared" si="499"/>
        <v>17.200000000000003</v>
      </c>
      <c r="AEB30" s="90">
        <f t="shared" si="500"/>
        <v>0</v>
      </c>
      <c r="AEC30" s="104">
        <f t="shared" si="501"/>
        <v>16.740000000000002</v>
      </c>
      <c r="AED30" s="104">
        <f t="shared" si="502"/>
        <v>0.46000000000000085</v>
      </c>
      <c r="AEG30" s="1">
        <v>6.9499999999999993</v>
      </c>
      <c r="AEH30" s="1">
        <v>4.21</v>
      </c>
      <c r="AEI30" s="1">
        <v>0.56000000000000005</v>
      </c>
      <c r="AEJ30" s="1">
        <v>2.1800000000000002</v>
      </c>
      <c r="AEK30" s="1">
        <v>0</v>
      </c>
      <c r="AEL30" s="1">
        <v>0</v>
      </c>
      <c r="AEM30" s="1">
        <v>0</v>
      </c>
      <c r="AEN30" s="1">
        <v>0</v>
      </c>
      <c r="AEO30" s="1">
        <v>0</v>
      </c>
      <c r="AEP30" s="1">
        <v>0</v>
      </c>
      <c r="AEQ30" s="1">
        <v>0</v>
      </c>
      <c r="AER30" s="1">
        <v>0</v>
      </c>
      <c r="AES30" s="1">
        <v>0</v>
      </c>
      <c r="AET30" s="1">
        <v>0</v>
      </c>
      <c r="AEU30" s="1">
        <v>0</v>
      </c>
      <c r="AEV30" s="1">
        <v>0.02</v>
      </c>
      <c r="AEW30" s="1">
        <v>3.91</v>
      </c>
      <c r="AEX30" s="1">
        <v>6.82</v>
      </c>
      <c r="AEY30" s="1">
        <v>5.27</v>
      </c>
      <c r="AEZ30" s="1">
        <v>4.6399999999999997</v>
      </c>
      <c r="AFA30" s="1">
        <v>0.01</v>
      </c>
      <c r="AFB30" s="1">
        <v>4.6499999999999995</v>
      </c>
      <c r="AFC30" s="1">
        <v>227</v>
      </c>
      <c r="AFD30" s="1">
        <v>230.38</v>
      </c>
      <c r="AFE30" s="1">
        <v>0.46</v>
      </c>
      <c r="AFF30" s="1">
        <v>0.16</v>
      </c>
      <c r="AFG30" s="1">
        <v>0.11989898989898991</v>
      </c>
      <c r="AFH30" s="1">
        <v>0.1613</v>
      </c>
      <c r="AFI30" s="1">
        <v>0.38175323599898991</v>
      </c>
      <c r="AFJ30" s="1">
        <v>0.62</v>
      </c>
      <c r="AFK30" s="1">
        <v>16.12</v>
      </c>
      <c r="AFL30" s="1">
        <v>16.13</v>
      </c>
      <c r="AFM30" s="1">
        <v>9.9999999999980105E-3</v>
      </c>
      <c r="AFO30" s="1">
        <v>16.12</v>
      </c>
      <c r="AFP30" s="1">
        <v>0</v>
      </c>
      <c r="AFQ30" s="1">
        <v>16.12</v>
      </c>
      <c r="AFX30" s="1">
        <v>16.82</v>
      </c>
    </row>
    <row r="31" spans="1:856" s="1" customFormat="1" ht="63.75" customHeight="1">
      <c r="A31" s="88">
        <v>23</v>
      </c>
      <c r="B31" s="20"/>
      <c r="C31" s="89" t="s">
        <v>501</v>
      </c>
      <c r="D31" s="20"/>
      <c r="E31" s="20" t="s">
        <v>437</v>
      </c>
      <c r="F31" s="20" t="s">
        <v>438</v>
      </c>
      <c r="G31" s="20">
        <v>0.8</v>
      </c>
      <c r="H31" s="20">
        <v>419</v>
      </c>
      <c r="I31" s="20">
        <f>419+1.6+0.6</f>
        <v>421.20000000000005</v>
      </c>
      <c r="J31" s="20">
        <f t="shared" si="0"/>
        <v>336.96000000000004</v>
      </c>
      <c r="K31" s="20">
        <v>8</v>
      </c>
      <c r="L31" s="20"/>
      <c r="M31" s="20"/>
      <c r="N31" s="20"/>
      <c r="O31" s="90">
        <f t="shared" si="1"/>
        <v>0</v>
      </c>
      <c r="P31" s="20"/>
      <c r="Q31" s="20"/>
      <c r="R31" s="90">
        <f t="shared" si="2"/>
        <v>0</v>
      </c>
      <c r="S31" s="20">
        <v>28.8</v>
      </c>
      <c r="T31" s="20">
        <v>2.6</v>
      </c>
      <c r="U31" s="20">
        <v>3.13</v>
      </c>
      <c r="V31" s="91">
        <f t="shared" si="3"/>
        <v>234.37</v>
      </c>
      <c r="W31" s="20">
        <v>2.1000000000000001E-2</v>
      </c>
      <c r="X31" s="20">
        <f t="shared" si="4"/>
        <v>33.42</v>
      </c>
      <c r="Y31" s="91">
        <f t="shared" si="5"/>
        <v>20.21</v>
      </c>
      <c r="Z31" s="20"/>
      <c r="AA31" s="20"/>
      <c r="AB31" s="20"/>
      <c r="AC31" s="91">
        <f t="shared" si="6"/>
        <v>254.59</v>
      </c>
      <c r="AD31" s="90">
        <f t="shared" si="7"/>
        <v>0.6</v>
      </c>
      <c r="AE31" s="92">
        <f t="shared" si="8"/>
        <v>3055.08</v>
      </c>
      <c r="AF31" s="20">
        <v>26</v>
      </c>
      <c r="AG31" s="20">
        <v>24</v>
      </c>
      <c r="AH31" s="20">
        <v>24</v>
      </c>
      <c r="AI31" s="20">
        <v>27</v>
      </c>
      <c r="AJ31" s="20">
        <v>1.6</v>
      </c>
      <c r="AK31" s="90">
        <f t="shared" si="9"/>
        <v>3.2</v>
      </c>
      <c r="AL31" s="90">
        <v>391.01</v>
      </c>
      <c r="AM31" s="90">
        <f t="shared" si="10"/>
        <v>1251.23</v>
      </c>
      <c r="AN31" s="20">
        <v>26</v>
      </c>
      <c r="AO31" s="20">
        <v>24</v>
      </c>
      <c r="AP31" s="20">
        <v>26</v>
      </c>
      <c r="AQ31" s="20">
        <v>26</v>
      </c>
      <c r="AR31" s="20">
        <v>24</v>
      </c>
      <c r="AS31" s="20">
        <v>30</v>
      </c>
      <c r="AT31" s="20">
        <f t="shared" si="11"/>
        <v>2</v>
      </c>
      <c r="AU31" s="20">
        <v>1.6</v>
      </c>
      <c r="AV31" s="90">
        <f t="shared" si="12"/>
        <v>3.47</v>
      </c>
      <c r="AW31" s="90">
        <f>ROUND((179.74*6+181.82*6)/12,2)</f>
        <v>180.78</v>
      </c>
      <c r="AX31" s="90">
        <v>723.12</v>
      </c>
      <c r="AY31" s="90">
        <f t="shared" si="14"/>
        <v>1.72</v>
      </c>
      <c r="AZ31" s="90">
        <f t="shared" si="15"/>
        <v>1355.5</v>
      </c>
      <c r="BA31" s="90">
        <f t="shared" si="16"/>
        <v>-632.38</v>
      </c>
      <c r="BB31" s="90">
        <v>723.12</v>
      </c>
      <c r="BC31" s="90">
        <v>1.72</v>
      </c>
      <c r="BD31" s="92">
        <f t="shared" si="17"/>
        <v>8677.44</v>
      </c>
      <c r="BE31" s="90"/>
      <c r="BF31" s="90">
        <f t="shared" si="18"/>
        <v>0</v>
      </c>
      <c r="BG31" s="90">
        <v>391.01</v>
      </c>
      <c r="BH31" s="90">
        <f t="shared" si="19"/>
        <v>1356.8</v>
      </c>
      <c r="BI31" s="90">
        <f t="shared" si="20"/>
        <v>3.22</v>
      </c>
      <c r="BJ31" s="90">
        <f t="shared" si="21"/>
        <v>187.2093023255814</v>
      </c>
      <c r="BK31" s="90">
        <f t="shared" si="22"/>
        <v>1356.8</v>
      </c>
      <c r="BL31" s="90">
        <f t="shared" si="23"/>
        <v>3.22</v>
      </c>
      <c r="BM31" s="90"/>
      <c r="BN31" s="90">
        <f t="shared" si="24"/>
        <v>0</v>
      </c>
      <c r="BO31" s="90">
        <f t="shared" si="25"/>
        <v>1356.8</v>
      </c>
      <c r="BP31" s="90">
        <f t="shared" si="26"/>
        <v>3.2212725546058874</v>
      </c>
      <c r="BQ31" s="90"/>
      <c r="BR31" s="90">
        <f t="shared" si="27"/>
        <v>0</v>
      </c>
      <c r="BS31" s="90">
        <f t="shared" si="28"/>
        <v>1356.8</v>
      </c>
      <c r="BT31" s="90">
        <f t="shared" si="29"/>
        <v>3.2212725546058874</v>
      </c>
      <c r="BU31" s="90"/>
      <c r="BV31" s="93">
        <v>1.4356370000000001</v>
      </c>
      <c r="BW31" s="90">
        <f t="shared" si="30"/>
        <v>604.69030440000006</v>
      </c>
      <c r="BX31" s="90">
        <f t="shared" si="31"/>
        <v>640.97172266400014</v>
      </c>
      <c r="BY31" s="90"/>
      <c r="BZ31" s="90"/>
      <c r="CA31" s="90">
        <v>0.2651</v>
      </c>
      <c r="CB31" s="90">
        <f t="shared" ref="CB31:CB36" si="542">$I31*CA31</f>
        <v>111.66012000000001</v>
      </c>
      <c r="CC31" s="90">
        <v>0.71072749999999996</v>
      </c>
      <c r="CD31" s="90">
        <f t="shared" si="33"/>
        <v>79.359917937299997</v>
      </c>
      <c r="CE31" s="90">
        <f t="shared" si="34"/>
        <v>120.00030819730908</v>
      </c>
      <c r="CF31" s="90">
        <v>116.98223386632075</v>
      </c>
      <c r="CG31" s="90">
        <f>I31*0.278131797</f>
        <v>117.14911289640001</v>
      </c>
      <c r="CH31" s="90">
        <f t="shared" si="35"/>
        <v>122.77</v>
      </c>
      <c r="CI31" s="90">
        <f t="shared" si="524"/>
        <v>128.84576312499451</v>
      </c>
      <c r="CJ31" s="90">
        <f t="shared" si="36"/>
        <v>129.52000000000001</v>
      </c>
      <c r="CK31" s="90">
        <f t="shared" si="37"/>
        <v>136.98427605983508</v>
      </c>
      <c r="CL31" s="90">
        <f t="shared" si="38"/>
        <v>136.98427605983508</v>
      </c>
      <c r="CM31" s="94">
        <v>0.14899999999999999</v>
      </c>
      <c r="CN31" s="90">
        <f t="shared" si="39"/>
        <v>90.098855355600008</v>
      </c>
      <c r="CO31" s="90">
        <f t="shared" si="40"/>
        <v>95.504786676936007</v>
      </c>
      <c r="CP31" s="90"/>
      <c r="CQ31" s="90">
        <v>3.9528000000000001E-2</v>
      </c>
      <c r="CR31" s="90">
        <f t="shared" ref="CR31:CR36" si="543">$I31*CQ31</f>
        <v>16.649193600000004</v>
      </c>
      <c r="CS31" s="90">
        <v>0.71072749999999996</v>
      </c>
      <c r="CT31" s="90">
        <f t="shared" si="42"/>
        <v>11.833039744344003</v>
      </c>
      <c r="CU31" s="90">
        <f t="shared" si="43"/>
        <v>17.892765682471651</v>
      </c>
      <c r="CV31" s="90">
        <f>I31*0.085919164</f>
        <v>36.189151876800004</v>
      </c>
      <c r="CW31" s="90">
        <f t="shared" si="44"/>
        <v>37.93</v>
      </c>
      <c r="CX31" s="90">
        <f t="shared" si="525"/>
        <v>39.807117335921163</v>
      </c>
      <c r="CY31" s="90">
        <f t="shared" si="45"/>
        <v>40.020000000000003</v>
      </c>
      <c r="CZ31" s="90">
        <f t="shared" si="46"/>
        <v>42.321524728757389</v>
      </c>
      <c r="DA31" s="90">
        <f t="shared" si="47"/>
        <v>42.321524728757389</v>
      </c>
      <c r="DB31" s="93">
        <v>1.4169099999999999</v>
      </c>
      <c r="DC31" s="90">
        <f t="shared" si="48"/>
        <v>596.80249200000003</v>
      </c>
      <c r="DD31" s="90">
        <f t="shared" si="49"/>
        <v>632.61064152000006</v>
      </c>
      <c r="DE31" s="90"/>
      <c r="DF31" s="90"/>
      <c r="DG31" s="90">
        <v>0.16261400000000001</v>
      </c>
      <c r="DH31" s="90">
        <f t="shared" ref="DH31:DH36" si="544">$I31*DG31</f>
        <v>68.493016800000007</v>
      </c>
      <c r="DI31" s="90">
        <v>0.71072749999999996</v>
      </c>
      <c r="DJ31" s="90">
        <f t="shared" si="51"/>
        <v>48.679870597722001</v>
      </c>
      <c r="DK31" s="90">
        <f t="shared" si="52"/>
        <v>73.608940464719794</v>
      </c>
      <c r="DL31" s="90">
        <f>I31*0.138251138</f>
        <v>58.231379325600003</v>
      </c>
      <c r="DM31" s="90">
        <f t="shared" si="53"/>
        <v>61.03</v>
      </c>
      <c r="DN31" s="90">
        <f t="shared" si="526"/>
        <v>64.050312971559947</v>
      </c>
      <c r="DO31" s="90">
        <f t="shared" si="54"/>
        <v>64.39</v>
      </c>
      <c r="DP31" s="90">
        <f t="shared" si="55"/>
        <v>68.096036229793398</v>
      </c>
      <c r="DQ31" s="90">
        <f t="shared" si="56"/>
        <v>68.096036229793398</v>
      </c>
      <c r="DR31" s="93">
        <v>5.6880149999999997E-2</v>
      </c>
      <c r="DS31" s="90">
        <f t="shared" si="57"/>
        <v>23.957919180000001</v>
      </c>
      <c r="DT31" s="90">
        <f t="shared" si="58"/>
        <v>25.395394330800002</v>
      </c>
      <c r="DU31" s="90"/>
      <c r="DV31" s="90">
        <v>6.1511999999999999E-3</v>
      </c>
      <c r="DW31" s="90">
        <f t="shared" ref="DW31:DW36" si="545">$I31*DV31</f>
        <v>2.5908854400000001</v>
      </c>
      <c r="DX31" s="90">
        <v>0.71072749999999996</v>
      </c>
      <c r="DY31" s="90">
        <f t="shared" si="60"/>
        <v>1.8414135315575999</v>
      </c>
      <c r="DZ31" s="90">
        <f t="shared" si="61"/>
        <v>2.7844054914495948</v>
      </c>
      <c r="EA31" s="90">
        <f t="shared" si="62"/>
        <v>2.92</v>
      </c>
      <c r="EB31" s="90">
        <f t="shared" si="527"/>
        <v>3.0645078465829112</v>
      </c>
      <c r="EC31" s="90">
        <f t="shared" si="63"/>
        <v>3.08</v>
      </c>
      <c r="ED31" s="90">
        <f t="shared" si="64"/>
        <v>3.258076778485937</v>
      </c>
      <c r="EE31" s="90">
        <f t="shared" si="65"/>
        <v>3.258076778485937</v>
      </c>
      <c r="EF31" s="94">
        <v>0.85293354333000004</v>
      </c>
      <c r="EG31" s="90">
        <f t="shared" si="66"/>
        <v>287.40448676047686</v>
      </c>
      <c r="EH31" s="90">
        <f t="shared" si="67"/>
        <v>304.64875596610551</v>
      </c>
      <c r="EI31" s="90"/>
      <c r="EJ31" s="90">
        <v>0.58975</v>
      </c>
      <c r="EK31" s="90">
        <f t="shared" si="68"/>
        <v>198.72216000000003</v>
      </c>
      <c r="EL31" s="90">
        <v>0.71072749999999996</v>
      </c>
      <c r="EM31" s="90">
        <f t="shared" si="69"/>
        <v>141.23730397140002</v>
      </c>
      <c r="EN31" s="90">
        <f t="shared" si="70"/>
        <v>213.56524106937169</v>
      </c>
      <c r="EO31" s="90">
        <f>J31*0.618109975</f>
        <v>208.27833717600001</v>
      </c>
      <c r="EP31" s="90">
        <f t="shared" si="71"/>
        <v>218.28</v>
      </c>
      <c r="EQ31" s="90">
        <f t="shared" si="528"/>
        <v>229.08245642195814</v>
      </c>
      <c r="ER31" s="90">
        <f t="shared" si="72"/>
        <v>230.29</v>
      </c>
      <c r="ES31" s="90">
        <f t="shared" si="73"/>
        <v>243.55239698901036</v>
      </c>
      <c r="ET31" s="90">
        <f t="shared" si="74"/>
        <v>243.55239698901036</v>
      </c>
      <c r="EU31" s="94">
        <v>0.14899999999999999</v>
      </c>
      <c r="EV31" s="90">
        <f t="shared" si="75"/>
        <v>42.82326852731105</v>
      </c>
      <c r="EW31" s="90">
        <f t="shared" si="76"/>
        <v>45.392664638949718</v>
      </c>
      <c r="EX31" s="90"/>
      <c r="EY31" s="90">
        <v>8.7870000000000004E-2</v>
      </c>
      <c r="EZ31" s="90">
        <f t="shared" si="77"/>
        <v>29.608675200000004</v>
      </c>
      <c r="FA31" s="90">
        <v>0.71072749999999996</v>
      </c>
      <c r="FB31" s="90">
        <f t="shared" si="78"/>
        <v>21.043699703208002</v>
      </c>
      <c r="FC31" s="90">
        <f t="shared" si="79"/>
        <v>31.820225066156318</v>
      </c>
      <c r="FD31" s="90">
        <f>J31*0.191129646</f>
        <v>64.403045516160006</v>
      </c>
      <c r="FE31" s="90">
        <f t="shared" si="80"/>
        <v>67.489999999999995</v>
      </c>
      <c r="FF31" s="90">
        <f t="shared" si="529"/>
        <v>70.830011837630352</v>
      </c>
      <c r="FG31" s="90">
        <f t="shared" si="81"/>
        <v>71.2</v>
      </c>
      <c r="FH31" s="90">
        <f t="shared" si="82"/>
        <v>75.303973212334185</v>
      </c>
      <c r="FI31" s="90">
        <f t="shared" si="83"/>
        <v>75.303973212334185</v>
      </c>
      <c r="FJ31" s="93">
        <v>0.49981642240000002</v>
      </c>
      <c r="FK31" s="90">
        <f t="shared" si="84"/>
        <v>168.41814169190403</v>
      </c>
      <c r="FL31" s="90">
        <f t="shared" si="85"/>
        <v>178.52323019341827</v>
      </c>
      <c r="FM31" s="90"/>
      <c r="FN31" s="90">
        <v>0.35812500000000003</v>
      </c>
      <c r="FO31" s="90">
        <f t="shared" si="86"/>
        <v>120.67380000000003</v>
      </c>
      <c r="FP31" s="90">
        <v>0.71072749999999996</v>
      </c>
      <c r="FQ31" s="90">
        <f t="shared" si="87"/>
        <v>85.766188189500014</v>
      </c>
      <c r="FR31" s="90">
        <f t="shared" si="88"/>
        <v>129.68724367608095</v>
      </c>
      <c r="FS31" s="90">
        <f>J31*0.303398303</f>
        <v>102.23309217888</v>
      </c>
      <c r="FT31" s="90">
        <f t="shared" si="89"/>
        <v>107.14</v>
      </c>
      <c r="FU31" s="90">
        <f>J31*0.303667193</f>
        <v>102.32369735328001</v>
      </c>
      <c r="FV31" s="90">
        <f t="shared" si="90"/>
        <v>107.24</v>
      </c>
      <c r="FW31" s="90">
        <f t="shared" si="530"/>
        <v>112.54719913272307</v>
      </c>
      <c r="FX31" s="90">
        <f t="shared" si="91"/>
        <v>113.14</v>
      </c>
      <c r="FY31" s="90">
        <f t="shared" si="92"/>
        <v>119.65621702905202</v>
      </c>
      <c r="FZ31" s="90">
        <f t="shared" si="93"/>
        <v>119.65621702905202</v>
      </c>
      <c r="GA31" s="94">
        <v>1.352261642E-2</v>
      </c>
      <c r="GB31" s="90">
        <f t="shared" si="94"/>
        <v>4.5565808288832006</v>
      </c>
      <c r="GC31" s="90">
        <f t="shared" si="95"/>
        <v>4.8299756786161927</v>
      </c>
      <c r="GD31" s="90"/>
      <c r="GE31" s="90">
        <v>1.0749999999999999E-2</v>
      </c>
      <c r="GF31" s="90">
        <f t="shared" si="96"/>
        <v>3.6223200000000002</v>
      </c>
      <c r="GG31" s="90">
        <v>0.71072749999999996</v>
      </c>
      <c r="GH31" s="90">
        <f t="shared" si="97"/>
        <v>2.5744824378</v>
      </c>
      <c r="GI31" s="90">
        <f t="shared" si="98"/>
        <v>3.892880612964384</v>
      </c>
      <c r="GJ31" s="90">
        <f t="shared" si="99"/>
        <v>4.08</v>
      </c>
      <c r="GK31" s="90">
        <f t="shared" si="531"/>
        <v>4.281915073307629</v>
      </c>
      <c r="GL31" s="90">
        <f t="shared" si="100"/>
        <v>4.3</v>
      </c>
      <c r="GM31" s="90">
        <f t="shared" si="101"/>
        <v>4.5523812521310356</v>
      </c>
      <c r="GN31" s="90">
        <f t="shared" si="102"/>
        <v>4.5523812521310356</v>
      </c>
      <c r="GO31" s="90">
        <v>1612.8</v>
      </c>
      <c r="GP31" s="90">
        <f t="shared" si="103"/>
        <v>134.4</v>
      </c>
      <c r="GQ31" s="90">
        <f>1058.4+69.3</f>
        <v>1127.7</v>
      </c>
      <c r="GR31" s="90">
        <f t="shared" si="104"/>
        <v>93.975000000000009</v>
      </c>
      <c r="GS31" s="90">
        <f t="shared" si="105"/>
        <v>228.375</v>
      </c>
      <c r="GT31" s="90">
        <f t="shared" si="106"/>
        <v>0.54</v>
      </c>
      <c r="GU31" s="90">
        <v>1842.24</v>
      </c>
      <c r="GV31" s="90">
        <f>1003.2+66.12</f>
        <v>1069.3200000000002</v>
      </c>
      <c r="GW31" s="90">
        <f t="shared" si="107"/>
        <v>242.63000000000002</v>
      </c>
      <c r="GX31" s="90">
        <f t="shared" si="108"/>
        <v>0.57999999999999996</v>
      </c>
      <c r="GY31" s="90">
        <v>3292.32</v>
      </c>
      <c r="GZ31" s="90">
        <f>1067.04+70.68</f>
        <v>1137.72</v>
      </c>
      <c r="HA31" s="90">
        <f t="shared" si="109"/>
        <v>369.17</v>
      </c>
      <c r="HB31" s="90">
        <f t="shared" si="110"/>
        <v>0.88</v>
      </c>
      <c r="HC31" s="90">
        <v>3292.32</v>
      </c>
      <c r="HD31" s="90">
        <f>1067.04+70.68</f>
        <v>1137.72</v>
      </c>
      <c r="HE31" s="90">
        <f t="shared" si="111"/>
        <v>369.17</v>
      </c>
      <c r="HF31" s="90">
        <f t="shared" si="112"/>
        <v>0.88</v>
      </c>
      <c r="HG31" s="90"/>
      <c r="HH31" s="90"/>
      <c r="HI31" s="90">
        <v>0.96</v>
      </c>
      <c r="HJ31" s="90">
        <f t="shared" si="113"/>
        <v>404.35200000000003</v>
      </c>
      <c r="HK31" s="90">
        <f t="shared" si="114"/>
        <v>1.0060778727445392</v>
      </c>
      <c r="HL31" s="90">
        <f t="shared" si="115"/>
        <v>423.76</v>
      </c>
      <c r="HM31" s="90">
        <v>1.07</v>
      </c>
      <c r="HN31" s="90">
        <f t="shared" si="116"/>
        <v>450.68400000000008</v>
      </c>
      <c r="HO31" s="90">
        <v>1.1499999999999999</v>
      </c>
      <c r="HP31" s="90">
        <f t="shared" si="117"/>
        <v>484.38</v>
      </c>
      <c r="HQ31" s="90">
        <v>1.1499999999999999</v>
      </c>
      <c r="HR31" s="90">
        <f t="shared" si="118"/>
        <v>484.38</v>
      </c>
      <c r="HS31" s="90">
        <v>0.31919999999999998</v>
      </c>
      <c r="HT31" s="90">
        <f t="shared" si="119"/>
        <v>134.44704000000002</v>
      </c>
      <c r="HU31" s="90" t="e">
        <f>HT31*#REF!</f>
        <v>#REF!</v>
      </c>
      <c r="HV31" s="90">
        <v>2.83</v>
      </c>
      <c r="HW31" s="90">
        <v>3.1</v>
      </c>
      <c r="HX31" s="90">
        <f t="shared" si="120"/>
        <v>1305.7200000000003</v>
      </c>
      <c r="HY31" s="90">
        <v>1.06</v>
      </c>
      <c r="HZ31" s="90">
        <f t="shared" si="121"/>
        <v>1384.0632000000003</v>
      </c>
      <c r="IA31" s="90">
        <f t="shared" si="122"/>
        <v>3.29</v>
      </c>
      <c r="IB31" s="90">
        <f t="shared" si="123"/>
        <v>3.45</v>
      </c>
      <c r="IC31" s="90">
        <f t="shared" si="124"/>
        <v>1453.1400000000003</v>
      </c>
      <c r="ID31" s="90">
        <f t="shared" si="125"/>
        <v>3.64</v>
      </c>
      <c r="IE31" s="90">
        <f t="shared" si="126"/>
        <v>1533.17</v>
      </c>
      <c r="IF31" s="90">
        <f t="shared" si="127"/>
        <v>3.64</v>
      </c>
      <c r="IG31" s="92">
        <f t="shared" si="128"/>
        <v>18398.04</v>
      </c>
      <c r="IH31" s="90">
        <v>3.91</v>
      </c>
      <c r="II31" s="90">
        <f t="shared" si="129"/>
        <v>4.1100000000000003</v>
      </c>
      <c r="IJ31" s="90">
        <f t="shared" si="130"/>
        <v>1731.13</v>
      </c>
      <c r="IK31" s="90">
        <f t="shared" si="131"/>
        <v>4.1100000000000003</v>
      </c>
      <c r="IL31" s="90">
        <f t="shared" si="132"/>
        <v>1731.13</v>
      </c>
      <c r="IM31" s="90">
        <f t="shared" si="133"/>
        <v>4.1100000000000003</v>
      </c>
      <c r="IN31" s="90">
        <f t="shared" si="134"/>
        <v>1731.13</v>
      </c>
      <c r="IO31" s="90">
        <f t="shared" si="135"/>
        <v>4.1100000000000003</v>
      </c>
      <c r="IP31" s="93">
        <v>0.37052404126999999</v>
      </c>
      <c r="IQ31" s="90">
        <f t="shared" si="136"/>
        <v>124.8517809463392</v>
      </c>
      <c r="IR31" s="90">
        <f t="shared" si="137"/>
        <v>132.34288780311957</v>
      </c>
      <c r="IS31" s="90">
        <v>108693.96</v>
      </c>
      <c r="IT31" s="90">
        <v>3053.33</v>
      </c>
      <c r="IU31" s="94"/>
      <c r="IV31" s="94"/>
      <c r="IW31" s="94">
        <v>1.6976249999999999</v>
      </c>
      <c r="IX31" s="90">
        <f t="shared" si="138"/>
        <v>572.03172000000006</v>
      </c>
      <c r="IY31" s="93">
        <v>0.56339614052999998</v>
      </c>
      <c r="IZ31" s="90">
        <f t="shared" si="139"/>
        <v>237.30245439123601</v>
      </c>
      <c r="JA31" s="90">
        <f t="shared" si="140"/>
        <v>248.69</v>
      </c>
      <c r="JB31" s="90">
        <f t="shared" si="532"/>
        <v>260.99741656393974</v>
      </c>
      <c r="JC31" s="90">
        <f t="shared" si="141"/>
        <v>262.37</v>
      </c>
      <c r="JD31" s="90">
        <f t="shared" si="142"/>
        <v>277.48325823344777</v>
      </c>
      <c r="JE31" s="90">
        <f t="shared" si="143"/>
        <v>277.48325823344777</v>
      </c>
      <c r="JF31" s="93">
        <v>4.2278943710000003E-2</v>
      </c>
      <c r="JG31" s="90">
        <f t="shared" si="144"/>
        <v>14.246312872521603</v>
      </c>
      <c r="JH31" s="90">
        <f t="shared" si="145"/>
        <v>15.1010916448729</v>
      </c>
      <c r="JI31" s="20">
        <v>462.98</v>
      </c>
      <c r="JJ31" s="20"/>
      <c r="JK31" s="20">
        <v>6.0624999999999998E-2</v>
      </c>
      <c r="JL31" s="90">
        <f t="shared" si="146"/>
        <v>20.4282</v>
      </c>
      <c r="JM31" s="93">
        <v>6.7347080040000007E-2</v>
      </c>
      <c r="JN31" s="90">
        <f t="shared" si="147"/>
        <v>28.366590112848005</v>
      </c>
      <c r="JO31" s="90">
        <f t="shared" si="148"/>
        <v>29.73</v>
      </c>
      <c r="JP31" s="90">
        <f t="shared" si="533"/>
        <v>31.201307629763679</v>
      </c>
      <c r="JQ31" s="90">
        <f t="shared" si="149"/>
        <v>31.37</v>
      </c>
      <c r="JR31" s="90">
        <f t="shared" si="150"/>
        <v>33.17213103574894</v>
      </c>
      <c r="JS31" s="90">
        <f t="shared" si="151"/>
        <v>33.17213103574894</v>
      </c>
      <c r="JT31" s="93">
        <v>7.3220517000000002E-3</v>
      </c>
      <c r="JU31" s="90">
        <f t="shared" si="152"/>
        <v>2.4672385408320006</v>
      </c>
      <c r="JV31" s="90">
        <f t="shared" si="153"/>
        <v>2.59</v>
      </c>
      <c r="JW31" s="90">
        <f t="shared" si="534"/>
        <v>2.7181764803594994</v>
      </c>
      <c r="JX31" s="90">
        <f t="shared" si="154"/>
        <v>2.73</v>
      </c>
      <c r="JY31" s="90">
        <f t="shared" si="155"/>
        <v>2.8898694713282795</v>
      </c>
      <c r="JZ31" s="90">
        <f t="shared" si="156"/>
        <v>2.8898694713282795</v>
      </c>
      <c r="KA31" s="90">
        <v>8.3090999999999998E-3</v>
      </c>
      <c r="KB31" s="90">
        <f t="shared" si="157"/>
        <v>2.7998343360000004</v>
      </c>
      <c r="KC31" s="90" t="e">
        <f>KB31*#REF!</f>
        <v>#REF!</v>
      </c>
      <c r="KD31" s="90">
        <v>34406.519999999997</v>
      </c>
      <c r="KE31" s="90">
        <v>40292.97</v>
      </c>
      <c r="KF31" s="90"/>
      <c r="KG31" s="90">
        <f t="shared" ref="KG31:KG38" si="546">I31/KD31*KE31</f>
        <v>493.26113085543096</v>
      </c>
      <c r="KH31" s="90" t="e">
        <f>KG31/(BW31+#REF!)*(CB31+#REF!)</f>
        <v>#REF!</v>
      </c>
      <c r="KI31" s="90">
        <v>0.8</v>
      </c>
      <c r="KJ31" s="94"/>
      <c r="KK31" s="90">
        <f t="shared" si="159"/>
        <v>0</v>
      </c>
      <c r="KL31" s="93">
        <v>1.2690177</v>
      </c>
      <c r="KM31" s="90">
        <f t="shared" si="160"/>
        <v>534.51025524000011</v>
      </c>
      <c r="KN31" s="90">
        <f t="shared" si="161"/>
        <v>566.58087055440012</v>
      </c>
      <c r="KO31" s="90" t="e">
        <f>BW31+CN31+DC31+DS31+EG31+EV31+FK31+GB31+#REF!+#REF!+HJ31+HX31+IQ31+JG31+JU31+KK31+KM31</f>
        <v>#REF!</v>
      </c>
      <c r="KP31" s="90"/>
      <c r="KQ31" s="90">
        <v>0.50815001599999998</v>
      </c>
      <c r="KR31" s="90">
        <f t="shared" si="514"/>
        <v>214.03278673920002</v>
      </c>
      <c r="KS31" s="90">
        <v>0.71072749999999996</v>
      </c>
      <c r="KT31" s="90">
        <f t="shared" si="163"/>
        <v>152.11898743718478</v>
      </c>
      <c r="KU31" s="90">
        <f t="shared" si="164"/>
        <v>230.01945880976064</v>
      </c>
      <c r="KV31" s="90">
        <f t="shared" si="165"/>
        <v>241.06</v>
      </c>
      <c r="KW31" s="90">
        <f t="shared" si="535"/>
        <v>252.98981558125908</v>
      </c>
      <c r="KX31" s="90">
        <f t="shared" si="166"/>
        <v>254.32</v>
      </c>
      <c r="KY31" s="90">
        <f t="shared" si="167"/>
        <v>268.96985898007534</v>
      </c>
      <c r="KZ31" s="90">
        <f t="shared" si="168"/>
        <v>268.96985898007534</v>
      </c>
      <c r="LA31" s="90">
        <f t="shared" si="169"/>
        <v>1651.1</v>
      </c>
      <c r="LB31" s="90">
        <f t="shared" si="170"/>
        <v>3.92</v>
      </c>
      <c r="LC31" s="92">
        <f t="shared" si="171"/>
        <v>19813.199999999997</v>
      </c>
      <c r="LD31" s="92">
        <v>4.21</v>
      </c>
      <c r="LE31" s="92">
        <v>1773.2499999999998</v>
      </c>
      <c r="LF31" s="90">
        <f t="shared" si="172"/>
        <v>4.18</v>
      </c>
      <c r="LG31" s="90">
        <f t="shared" si="173"/>
        <v>1760.62</v>
      </c>
      <c r="LH31" s="90">
        <f t="shared" si="174"/>
        <v>1774.9324999999999</v>
      </c>
      <c r="LI31" s="90">
        <f t="shared" si="175"/>
        <v>4.21</v>
      </c>
      <c r="LJ31" s="90">
        <f t="shared" si="176"/>
        <v>1760.6199999999997</v>
      </c>
      <c r="LK31" s="90">
        <f t="shared" si="177"/>
        <v>4.18</v>
      </c>
      <c r="LL31" s="90">
        <f t="shared" si="178"/>
        <v>1760.6199999999997</v>
      </c>
      <c r="LM31" s="90">
        <f t="shared" si="179"/>
        <v>4.18</v>
      </c>
      <c r="LN31" s="95">
        <v>0.46</v>
      </c>
      <c r="LO31" s="95">
        <f t="shared" si="180"/>
        <v>193.75</v>
      </c>
      <c r="LP31" s="95"/>
      <c r="LQ31" s="95">
        <f t="shared" si="181"/>
        <v>0</v>
      </c>
      <c r="LR31" s="90"/>
      <c r="LS31" s="90"/>
      <c r="LT31" s="90">
        <f t="shared" si="182"/>
        <v>0</v>
      </c>
      <c r="LU31" s="90"/>
      <c r="LV31" s="90">
        <f t="shared" si="183"/>
        <v>0</v>
      </c>
      <c r="LW31" s="90">
        <f t="shared" si="184"/>
        <v>0</v>
      </c>
      <c r="LX31" s="90"/>
      <c r="LY31" s="90"/>
      <c r="LZ31" s="90">
        <f t="shared" si="185"/>
        <v>0</v>
      </c>
      <c r="MA31" s="90"/>
      <c r="MB31" s="90">
        <f t="shared" si="186"/>
        <v>0</v>
      </c>
      <c r="MC31" s="90">
        <f t="shared" si="187"/>
        <v>0</v>
      </c>
      <c r="MD31" s="90"/>
      <c r="ME31" s="90"/>
      <c r="MF31" s="90">
        <f t="shared" si="188"/>
        <v>0</v>
      </c>
      <c r="MG31" s="90"/>
      <c r="MH31" s="90">
        <f t="shared" si="189"/>
        <v>0</v>
      </c>
      <c r="MI31" s="90">
        <f t="shared" si="190"/>
        <v>0</v>
      </c>
      <c r="MJ31" s="90"/>
      <c r="MK31" s="90"/>
      <c r="ML31" s="90">
        <f t="shared" si="191"/>
        <v>0</v>
      </c>
      <c r="MM31" s="90"/>
      <c r="MN31" s="90">
        <f t="shared" si="192"/>
        <v>0</v>
      </c>
      <c r="MO31" s="90">
        <f t="shared" si="193"/>
        <v>0</v>
      </c>
      <c r="MP31" s="90">
        <f t="shared" si="194"/>
        <v>0</v>
      </c>
      <c r="MQ31" s="90">
        <f t="shared" si="195"/>
        <v>0</v>
      </c>
      <c r="MR31" s="90">
        <f t="shared" si="196"/>
        <v>0</v>
      </c>
      <c r="MS31" s="90">
        <f t="shared" si="197"/>
        <v>0</v>
      </c>
      <c r="MT31" s="95"/>
      <c r="MU31" s="95">
        <f t="shared" si="198"/>
        <v>0</v>
      </c>
      <c r="MV31" s="92">
        <f t="shared" si="199"/>
        <v>0</v>
      </c>
      <c r="MW31" s="95"/>
      <c r="MX31" s="95">
        <f t="shared" si="200"/>
        <v>0</v>
      </c>
      <c r="MY31" s="95"/>
      <c r="MZ31" s="95">
        <f t="shared" si="201"/>
        <v>0</v>
      </c>
      <c r="NA31" s="95"/>
      <c r="NB31" s="95">
        <f t="shared" si="202"/>
        <v>0</v>
      </c>
      <c r="NC31" s="92">
        <f t="shared" si="203"/>
        <v>0</v>
      </c>
      <c r="ND31" s="95"/>
      <c r="NE31" s="95">
        <f t="shared" si="204"/>
        <v>0</v>
      </c>
      <c r="NF31" s="95"/>
      <c r="NG31" s="95">
        <f t="shared" si="205"/>
        <v>0</v>
      </c>
      <c r="NH31" s="95"/>
      <c r="NI31" s="95"/>
      <c r="NJ31" s="95">
        <f t="shared" si="206"/>
        <v>0</v>
      </c>
      <c r="NK31" s="92">
        <f t="shared" si="207"/>
        <v>0</v>
      </c>
      <c r="NL31" s="95"/>
      <c r="NM31" s="95">
        <f t="shared" si="208"/>
        <v>0</v>
      </c>
      <c r="NN31" s="95"/>
      <c r="NO31" s="95">
        <f t="shared" si="209"/>
        <v>0</v>
      </c>
      <c r="NP31" s="95"/>
      <c r="NQ31" s="95">
        <f t="shared" si="210"/>
        <v>0</v>
      </c>
      <c r="NR31" s="92">
        <f t="shared" si="211"/>
        <v>0</v>
      </c>
      <c r="NS31" s="95"/>
      <c r="NT31" s="95">
        <f t="shared" si="212"/>
        <v>0</v>
      </c>
      <c r="NU31" s="95"/>
      <c r="NV31" s="95">
        <f t="shared" si="213"/>
        <v>0</v>
      </c>
      <c r="NW31" s="95"/>
      <c r="NX31" s="95">
        <f t="shared" si="214"/>
        <v>0</v>
      </c>
      <c r="NY31" s="92">
        <f t="shared" si="215"/>
        <v>0</v>
      </c>
      <c r="NZ31" s="95"/>
      <c r="OA31" s="95">
        <f t="shared" si="216"/>
        <v>0</v>
      </c>
      <c r="OB31" s="95"/>
      <c r="OC31" s="95">
        <f t="shared" si="217"/>
        <v>0</v>
      </c>
      <c r="OD31" s="90">
        <v>2577.7399999999998</v>
      </c>
      <c r="OE31" s="90">
        <f t="shared" si="218"/>
        <v>6.12</v>
      </c>
      <c r="OF31" s="92">
        <f t="shared" si="219"/>
        <v>30932.879999999997</v>
      </c>
      <c r="OG31" s="96">
        <v>723.12</v>
      </c>
      <c r="OH31" s="96">
        <v>1.72</v>
      </c>
      <c r="OI31" s="90">
        <v>3302.21</v>
      </c>
      <c r="OJ31" s="90">
        <f t="shared" si="220"/>
        <v>7.84</v>
      </c>
      <c r="OK31" s="90">
        <f t="shared" si="221"/>
        <v>3300.8599999999997</v>
      </c>
      <c r="OL31" s="90">
        <f t="shared" si="222"/>
        <v>7.84</v>
      </c>
      <c r="OM31" s="90">
        <f t="shared" si="223"/>
        <v>0</v>
      </c>
      <c r="ON31" s="90">
        <v>2577.7399999999998</v>
      </c>
      <c r="OO31" s="90">
        <f t="shared" si="224"/>
        <v>6.12</v>
      </c>
      <c r="OP31" s="90">
        <v>2579.09</v>
      </c>
      <c r="OQ31" s="90">
        <v>6.12</v>
      </c>
      <c r="OR31" s="90">
        <f t="shared" si="225"/>
        <v>0</v>
      </c>
      <c r="OS31" s="90">
        <f t="shared" si="226"/>
        <v>6.12</v>
      </c>
      <c r="OT31" s="90">
        <v>2577.7399999999998</v>
      </c>
      <c r="OU31" s="90">
        <f t="shared" si="227"/>
        <v>6.12</v>
      </c>
      <c r="OV31" s="97">
        <v>2156.54</v>
      </c>
      <c r="OW31" s="90">
        <f t="shared" si="228"/>
        <v>6368.54</v>
      </c>
      <c r="OX31" s="90">
        <f t="shared" si="229"/>
        <v>15.12</v>
      </c>
      <c r="OY31" s="90">
        <f>OU31-1+10</f>
        <v>15.120000000000001</v>
      </c>
      <c r="OZ31" s="90"/>
      <c r="PA31" s="90"/>
      <c r="PB31" s="95">
        <f t="shared" si="230"/>
        <v>0</v>
      </c>
      <c r="PC31" s="92">
        <f t="shared" si="231"/>
        <v>0</v>
      </c>
      <c r="PD31" s="90"/>
      <c r="PE31" s="95">
        <f t="shared" si="232"/>
        <v>0</v>
      </c>
      <c r="PF31" s="90">
        <f t="shared" si="233"/>
        <v>6713.5049999999992</v>
      </c>
      <c r="PG31" s="90">
        <f t="shared" si="234"/>
        <v>15.94</v>
      </c>
      <c r="PH31" s="90">
        <f t="shared" si="235"/>
        <v>11780.01</v>
      </c>
      <c r="PI31" s="90">
        <f t="shared" si="236"/>
        <v>27.97</v>
      </c>
      <c r="PJ31" s="90">
        <f t="shared" si="237"/>
        <v>11780.01</v>
      </c>
      <c r="PK31" s="90">
        <f t="shared" si="238"/>
        <v>27.97</v>
      </c>
      <c r="PL31" s="90"/>
      <c r="PM31" s="90">
        <f t="shared" si="239"/>
        <v>201.41</v>
      </c>
      <c r="PN31" s="90">
        <f t="shared" si="240"/>
        <v>0.48</v>
      </c>
      <c r="PO31" s="92">
        <f t="shared" si="241"/>
        <v>2416.92</v>
      </c>
      <c r="PP31" s="90">
        <f t="shared" si="242"/>
        <v>353.4</v>
      </c>
      <c r="PQ31" s="90">
        <f t="shared" si="243"/>
        <v>0.84</v>
      </c>
      <c r="PR31" s="90">
        <f t="shared" si="244"/>
        <v>353.4</v>
      </c>
      <c r="PS31" s="90">
        <f t="shared" si="245"/>
        <v>0.84</v>
      </c>
      <c r="PT31" s="90">
        <f t="shared" si="246"/>
        <v>6914.9149999999991</v>
      </c>
      <c r="PU31" s="90">
        <f t="shared" si="247"/>
        <v>16.420000000000002</v>
      </c>
      <c r="PV31" s="90">
        <f t="shared" si="248"/>
        <v>12133.41</v>
      </c>
      <c r="PW31" s="90">
        <f t="shared" si="249"/>
        <v>28.81</v>
      </c>
      <c r="PX31" s="90">
        <f t="shared" si="250"/>
        <v>12133.41</v>
      </c>
      <c r="PY31" s="90">
        <f t="shared" si="251"/>
        <v>28.81</v>
      </c>
      <c r="PZ31" s="90">
        <f t="shared" si="252"/>
        <v>69.849999999999994</v>
      </c>
      <c r="QA31" s="90">
        <f t="shared" si="253"/>
        <v>0.17</v>
      </c>
      <c r="QB31" s="92">
        <f t="shared" si="254"/>
        <v>838.19999999999993</v>
      </c>
      <c r="QC31" s="90">
        <f t="shared" si="255"/>
        <v>122.56</v>
      </c>
      <c r="QD31" s="90">
        <f t="shared" si="256"/>
        <v>0.28999999999999998</v>
      </c>
      <c r="QE31" s="90">
        <f t="shared" si="257"/>
        <v>122.56</v>
      </c>
      <c r="QF31" s="90">
        <f t="shared" si="258"/>
        <v>0.28999999999999998</v>
      </c>
      <c r="QG31" s="90">
        <f t="shared" si="259"/>
        <v>6984.7649999999994</v>
      </c>
      <c r="QH31" s="90">
        <f t="shared" si="260"/>
        <v>16.579999999999998</v>
      </c>
      <c r="QI31" s="92">
        <f t="shared" si="261"/>
        <v>83817.179999999993</v>
      </c>
      <c r="QJ31" s="90">
        <f t="shared" si="262"/>
        <v>269.56981558125909</v>
      </c>
      <c r="QK31" s="98">
        <f t="shared" si="263"/>
        <v>0.21869999999999998</v>
      </c>
      <c r="QL31" s="90">
        <f t="shared" si="264"/>
        <v>92.116439999999997</v>
      </c>
      <c r="QM31" s="90">
        <f t="shared" si="265"/>
        <v>0.14579999999999999</v>
      </c>
      <c r="QN31" s="90">
        <f t="shared" si="266"/>
        <v>61.410960000000003</v>
      </c>
      <c r="QO31" s="90">
        <v>0.21869999999999998</v>
      </c>
      <c r="QP31" s="90">
        <v>0.14579999999999999</v>
      </c>
      <c r="QQ31" s="97">
        <f t="shared" si="267"/>
        <v>153.5274</v>
      </c>
      <c r="QR31" s="97">
        <v>153.30869999999999</v>
      </c>
      <c r="QS31" s="97">
        <f t="shared" si="268"/>
        <v>0.21870000000001255</v>
      </c>
      <c r="QT31" s="90"/>
      <c r="QU31" s="90">
        <f t="shared" si="269"/>
        <v>0.14579999999999999</v>
      </c>
      <c r="QV31" s="90">
        <f t="shared" si="270"/>
        <v>61.410960000000003</v>
      </c>
      <c r="QW31" s="90">
        <f t="shared" si="271"/>
        <v>153.5274</v>
      </c>
      <c r="QX31" s="90">
        <f t="shared" si="272"/>
        <v>0.36449999999999994</v>
      </c>
      <c r="QY31" s="90"/>
      <c r="QZ31" s="90"/>
      <c r="RA31" s="90"/>
      <c r="RB31" s="90">
        <v>1567.57</v>
      </c>
      <c r="RC31" s="97">
        <f t="shared" si="273"/>
        <v>6984.7649999999994</v>
      </c>
      <c r="RD31" s="97">
        <f t="shared" si="274"/>
        <v>16.579999999999998</v>
      </c>
      <c r="RE31" s="90">
        <f t="shared" si="275"/>
        <v>12255.97</v>
      </c>
      <c r="RF31" s="90">
        <f t="shared" si="276"/>
        <v>29.1</v>
      </c>
      <c r="RG31" s="90">
        <f t="shared" si="277"/>
        <v>175.40687160940328</v>
      </c>
      <c r="RH31" s="90">
        <f t="shared" si="278"/>
        <v>12255.97</v>
      </c>
      <c r="RI31" s="90">
        <f t="shared" si="279"/>
        <v>29.1</v>
      </c>
      <c r="RJ31" s="90">
        <v>18.410000000000004</v>
      </c>
      <c r="RK31" s="90">
        <v>0</v>
      </c>
      <c r="RL31" s="90">
        <f t="shared" si="280"/>
        <v>10.689999999999998</v>
      </c>
      <c r="RM31" s="90">
        <f t="shared" si="281"/>
        <v>164.22121896162525</v>
      </c>
      <c r="RN31" s="90">
        <f t="shared" si="282"/>
        <v>4255.9549999999999</v>
      </c>
      <c r="RO31" s="90"/>
      <c r="RP31" s="90"/>
      <c r="RQ31" s="99">
        <v>558</v>
      </c>
      <c r="RR31" s="90">
        <f t="shared" si="283"/>
        <v>4407.0249999999996</v>
      </c>
      <c r="RS31" s="90">
        <f t="shared" si="284"/>
        <v>10.463022317188981</v>
      </c>
      <c r="RT31" s="90">
        <f>11.28+3.3</f>
        <v>14.579999999999998</v>
      </c>
      <c r="RU31" s="90">
        <f t="shared" si="285"/>
        <v>6141.0959999999995</v>
      </c>
      <c r="RV31" s="90">
        <f t="shared" si="286"/>
        <v>0.64000431049681639</v>
      </c>
      <c r="RW31" s="90">
        <v>10.43</v>
      </c>
      <c r="RX31" s="90">
        <f t="shared" si="287"/>
        <v>10.951499999999999</v>
      </c>
      <c r="RY31" s="90">
        <f t="shared" si="288"/>
        <v>4612.7718000000004</v>
      </c>
      <c r="RZ31" s="90">
        <f t="shared" si="289"/>
        <v>1216.9431865949325</v>
      </c>
      <c r="SA31" s="90">
        <f t="shared" si="290"/>
        <v>544.45490355001641</v>
      </c>
      <c r="SB31" s="90">
        <f t="shared" si="291"/>
        <v>823.27146907028407</v>
      </c>
      <c r="SC31" s="90">
        <f t="shared" si="292"/>
        <v>1495.7597521152004</v>
      </c>
      <c r="SD31" s="90">
        <f t="shared" si="293"/>
        <v>1495.7597521152002</v>
      </c>
      <c r="SE31" s="90">
        <f t="shared" si="294"/>
        <v>1518.3041408554909</v>
      </c>
      <c r="SF31" s="90">
        <f t="shared" si="295"/>
        <v>1495.5022678988516</v>
      </c>
      <c r="SG31" s="90">
        <f t="shared" si="296"/>
        <v>0.2574842163487574</v>
      </c>
      <c r="SH31" s="90">
        <f t="shared" si="297"/>
        <v>1495.5928730732514</v>
      </c>
      <c r="SI31" s="90">
        <f t="shared" si="298"/>
        <v>3.5511864960000001</v>
      </c>
      <c r="SJ31" s="90">
        <f t="shared" si="299"/>
        <v>3.5505751849450413</v>
      </c>
      <c r="SK31" s="90"/>
      <c r="SL31" s="90"/>
      <c r="SM31" s="90"/>
      <c r="SN31" s="90">
        <f t="shared" si="300"/>
        <v>1601.39</v>
      </c>
      <c r="SO31" s="90" t="e">
        <f>RU31-#REF!-#REF!-HZ31-LT31-LZ31-MF31-ML31-QL31-QN31-SD31</f>
        <v>#REF!</v>
      </c>
      <c r="SP31" s="90">
        <f t="shared" si="301"/>
        <v>1567.57</v>
      </c>
      <c r="SQ31" s="90">
        <f t="shared" si="302"/>
        <v>1651.1</v>
      </c>
      <c r="SR31" s="90">
        <f t="shared" si="303"/>
        <v>3.7216761633428295</v>
      </c>
      <c r="SS31" s="90">
        <f t="shared" si="304"/>
        <v>3.9199905033238358</v>
      </c>
      <c r="ST31" s="90">
        <f t="shared" si="305"/>
        <v>1657.414</v>
      </c>
      <c r="SU31" s="90">
        <v>3.7216761633428295</v>
      </c>
      <c r="SV31" s="90">
        <f t="shared" si="306"/>
        <v>3.93</v>
      </c>
      <c r="SW31" s="90">
        <v>3.92</v>
      </c>
      <c r="SX31" s="90">
        <f t="shared" si="307"/>
        <v>1651.1</v>
      </c>
      <c r="SY31" s="90">
        <v>3.721635758440323</v>
      </c>
      <c r="SZ31" s="90">
        <f t="shared" si="308"/>
        <v>1567.5529814550641</v>
      </c>
      <c r="TA31" s="90">
        <f t="shared" si="309"/>
        <v>-1.7018544935808677E-2</v>
      </c>
      <c r="TB31" s="90">
        <v>0</v>
      </c>
      <c r="TC31" s="90">
        <f t="shared" si="310"/>
        <v>2149.7635999999993</v>
      </c>
      <c r="TD31" s="90" t="e">
        <f>#REF!+#REF!</f>
        <v>#REF!</v>
      </c>
      <c r="TE31" s="90" t="e">
        <f t="shared" si="311"/>
        <v>#REF!</v>
      </c>
      <c r="TF31" s="90">
        <v>2098.9585999999999</v>
      </c>
      <c r="TG31" s="90">
        <f t="shared" si="312"/>
        <v>35.006187820545378</v>
      </c>
      <c r="TH31" s="95"/>
      <c r="TI31" s="95"/>
      <c r="TJ31" s="95"/>
      <c r="TK31" s="95"/>
      <c r="TL31" s="95"/>
      <c r="TM31" s="95">
        <f t="shared" si="313"/>
        <v>0</v>
      </c>
      <c r="TN31" s="95">
        <f t="shared" si="314"/>
        <v>6141.0959999999995</v>
      </c>
      <c r="TO31" s="95">
        <f t="shared" si="315"/>
        <v>35.006187820545378</v>
      </c>
      <c r="TP31" s="95"/>
      <c r="TQ31" s="95">
        <f t="shared" si="316"/>
        <v>14.579999999999998</v>
      </c>
      <c r="TR31" s="95"/>
      <c r="TS31" s="95"/>
      <c r="TT31" s="95"/>
      <c r="TU31" s="95"/>
      <c r="TV31" s="95"/>
      <c r="TW31" s="95"/>
      <c r="TX31" s="95"/>
      <c r="TY31" s="95"/>
      <c r="TZ31" s="95">
        <f t="shared" si="317"/>
        <v>2.5</v>
      </c>
      <c r="UA31" s="95">
        <f t="shared" si="318"/>
        <v>0.64151999999999998</v>
      </c>
      <c r="UB31" s="90">
        <v>0</v>
      </c>
      <c r="UC31" s="90">
        <f t="shared" si="319"/>
        <v>0</v>
      </c>
      <c r="UD31" s="90">
        <f t="shared" si="320"/>
        <v>0</v>
      </c>
      <c r="UE31" s="90">
        <f t="shared" si="321"/>
        <v>0</v>
      </c>
      <c r="UF31" s="90">
        <f t="shared" si="322"/>
        <v>6141.0959999999995</v>
      </c>
      <c r="UG31" s="91">
        <f t="shared" si="323"/>
        <v>0</v>
      </c>
      <c r="UH31" s="95">
        <f t="shared" si="324"/>
        <v>35.006187820545378</v>
      </c>
      <c r="UI31" s="95">
        <f t="shared" si="325"/>
        <v>6141.0959999999995</v>
      </c>
      <c r="UJ31" s="101">
        <f t="shared" si="326"/>
        <v>0</v>
      </c>
      <c r="UK31" s="101">
        <f t="shared" si="327"/>
        <v>35.006187820545378</v>
      </c>
      <c r="UL31" s="90" t="e">
        <f>(#REF!+#REF!+HZ31+LT31+LZ31+MF31+ML31+QL31+QN31+SN31+TC31+TM31+UC31)/I31</f>
        <v>#REF!</v>
      </c>
      <c r="UN31" s="90" t="e">
        <f>#REF!/I31</f>
        <v>#REF!</v>
      </c>
      <c r="UO31" s="90" t="e">
        <f>#REF!/I31</f>
        <v>#REF!</v>
      </c>
      <c r="UP31" s="90">
        <v>1.1499999999999999</v>
      </c>
      <c r="UQ31" s="90" t="e">
        <f t="shared" si="328"/>
        <v>#REF!</v>
      </c>
      <c r="UR31" s="90">
        <f t="shared" si="329"/>
        <v>4407.0249999999996</v>
      </c>
      <c r="US31" s="90">
        <f t="shared" si="330"/>
        <v>5567.14</v>
      </c>
      <c r="UT31" s="90">
        <f t="shared" si="331"/>
        <v>5567.14</v>
      </c>
      <c r="UU31" s="90">
        <f t="shared" si="516"/>
        <v>5760.89</v>
      </c>
      <c r="UV31" s="90">
        <f t="shared" si="333"/>
        <v>5693.68</v>
      </c>
      <c r="UW31" s="90">
        <f t="shared" si="334"/>
        <v>6.18</v>
      </c>
      <c r="UX31" s="90">
        <f t="shared" si="335"/>
        <v>3.92</v>
      </c>
      <c r="UY31" s="90">
        <f t="shared" si="336"/>
        <v>3.8019705603038934</v>
      </c>
      <c r="UZ31" s="100">
        <f t="shared" si="337"/>
        <v>3.5511864960000001</v>
      </c>
      <c r="VA31" s="90">
        <f t="shared" si="338"/>
        <v>0.54</v>
      </c>
      <c r="VB31" s="90">
        <f t="shared" si="339"/>
        <v>1.72</v>
      </c>
      <c r="VC31" s="90">
        <f t="shared" si="340"/>
        <v>0</v>
      </c>
      <c r="VD31" s="90">
        <f t="shared" si="341"/>
        <v>0</v>
      </c>
      <c r="VE31" s="90">
        <f t="shared" si="342"/>
        <v>0</v>
      </c>
      <c r="VF31" s="90">
        <f t="shared" si="343"/>
        <v>0</v>
      </c>
      <c r="VG31" s="90">
        <f t="shared" si="344"/>
        <v>0</v>
      </c>
      <c r="VH31" s="90">
        <f t="shared" si="345"/>
        <v>0</v>
      </c>
      <c r="VI31" s="90">
        <f t="shared" si="346"/>
        <v>0</v>
      </c>
      <c r="VJ31" s="90">
        <f t="shared" si="347"/>
        <v>0</v>
      </c>
      <c r="VK31" s="90">
        <f t="shared" si="348"/>
        <v>0.6</v>
      </c>
      <c r="VL31" s="90">
        <f t="shared" si="349"/>
        <v>3.64</v>
      </c>
      <c r="VM31" s="90">
        <f t="shared" si="350"/>
        <v>6.12</v>
      </c>
      <c r="VN31" s="90">
        <f t="shared" si="351"/>
        <v>0</v>
      </c>
      <c r="VO31" s="90">
        <f t="shared" si="352"/>
        <v>6.12</v>
      </c>
      <c r="VP31" s="97">
        <v>0</v>
      </c>
      <c r="VQ31" s="97">
        <v>6.12</v>
      </c>
      <c r="VR31" s="90">
        <f t="shared" si="353"/>
        <v>0.48</v>
      </c>
      <c r="VS31" s="90">
        <f t="shared" si="354"/>
        <v>0.17</v>
      </c>
      <c r="VT31" s="90">
        <v>0.11989898989898991</v>
      </c>
      <c r="VU31" s="90">
        <f t="shared" si="355"/>
        <v>0.16589999999999999</v>
      </c>
      <c r="VV31" s="90">
        <v>0.38175323599898991</v>
      </c>
      <c r="VW31" s="90">
        <f t="shared" si="356"/>
        <v>0.65</v>
      </c>
      <c r="VX31" s="90">
        <f t="shared" si="357"/>
        <v>16.59</v>
      </c>
      <c r="VY31" s="90">
        <f t="shared" si="358"/>
        <v>16.59</v>
      </c>
      <c r="VZ31" s="90">
        <f t="shared" si="359"/>
        <v>0</v>
      </c>
      <c r="WA31" s="90"/>
      <c r="WB31" s="90">
        <f t="shared" si="360"/>
        <v>16.59</v>
      </c>
      <c r="WC31" s="90">
        <f t="shared" si="361"/>
        <v>0</v>
      </c>
      <c r="WD31" s="90"/>
      <c r="WE31" s="90">
        <v>16.59</v>
      </c>
      <c r="WF31" s="90"/>
      <c r="WG31" s="90">
        <f t="shared" si="362"/>
        <v>6987.7080000000005</v>
      </c>
      <c r="WH31" s="90">
        <f t="shared" si="363"/>
        <v>6987.7080000000005</v>
      </c>
      <c r="WI31" s="90">
        <f t="shared" si="364"/>
        <v>6984.7649999999994</v>
      </c>
      <c r="WJ31" s="90">
        <f t="shared" si="365"/>
        <v>4407.0249999999996</v>
      </c>
      <c r="WK31" s="97">
        <v>2577.7399999999998</v>
      </c>
      <c r="WL31" s="97">
        <v>6.12</v>
      </c>
      <c r="WM31" s="90">
        <f t="shared" si="366"/>
        <v>2577.7399999999998</v>
      </c>
      <c r="WN31" s="90">
        <f t="shared" si="367"/>
        <v>6.12</v>
      </c>
      <c r="WO31" s="90"/>
      <c r="WP31" s="97">
        <v>16.59</v>
      </c>
      <c r="WQ31" s="90">
        <f t="shared" si="368"/>
        <v>16.59</v>
      </c>
      <c r="WR31" s="91">
        <f t="shared" si="369"/>
        <v>113.78600823045268</v>
      </c>
      <c r="WS31" s="91">
        <f t="shared" si="370"/>
        <v>147.07446808510639</v>
      </c>
      <c r="WT31" s="90">
        <f t="shared" si="371"/>
        <v>6987.71</v>
      </c>
      <c r="WU31" s="90">
        <f t="shared" si="372"/>
        <v>6984.7649999999994</v>
      </c>
      <c r="WV31" s="90">
        <f t="shared" si="373"/>
        <v>2.9450000000006185</v>
      </c>
      <c r="WW31" s="90">
        <v>3.3</v>
      </c>
      <c r="WX31" s="90"/>
      <c r="WY31" s="90"/>
      <c r="WZ31" s="90">
        <f t="shared" si="374"/>
        <v>4.9720434343434325</v>
      </c>
      <c r="XA31" s="90">
        <v>0</v>
      </c>
      <c r="XB31" s="90">
        <f t="shared" si="375"/>
        <v>4.9720434343434325</v>
      </c>
      <c r="XC31" s="90">
        <f t="shared" si="376"/>
        <v>0.46229999999999999</v>
      </c>
      <c r="XD31" s="90">
        <f t="shared" si="377"/>
        <v>0.15565656565656566</v>
      </c>
      <c r="XE31" s="90"/>
      <c r="XF31" s="90">
        <f t="shared" si="378"/>
        <v>15.41</v>
      </c>
      <c r="XG31" s="90">
        <v>4.9832825261158584</v>
      </c>
      <c r="XH31" s="20">
        <v>14.579999999999998</v>
      </c>
      <c r="XI31" s="20">
        <v>0</v>
      </c>
      <c r="XJ31" s="20"/>
      <c r="XK31" s="20"/>
      <c r="XL31" s="20"/>
      <c r="XM31" s="20">
        <f t="shared" si="379"/>
        <v>14.579999999999998</v>
      </c>
      <c r="XN31" s="91">
        <f t="shared" si="380"/>
        <v>113.78600823045268</v>
      </c>
      <c r="XO31" s="20">
        <f t="shared" si="381"/>
        <v>14.579999999999998</v>
      </c>
      <c r="XP31" s="90">
        <f t="shared" si="382"/>
        <v>11.279999999999998</v>
      </c>
      <c r="XQ31" s="91">
        <f t="shared" si="383"/>
        <v>113.78600823045268</v>
      </c>
      <c r="XR31" s="102"/>
      <c r="XS31" s="90">
        <f t="shared" si="384"/>
        <v>3.64</v>
      </c>
      <c r="XT31" s="90">
        <f t="shared" si="385"/>
        <v>6.18</v>
      </c>
      <c r="XU31" s="90">
        <f t="shared" si="386"/>
        <v>3.92</v>
      </c>
      <c r="XV31" s="90">
        <f t="shared" si="387"/>
        <v>0.54</v>
      </c>
      <c r="XW31" s="90">
        <f t="shared" si="388"/>
        <v>0.54</v>
      </c>
      <c r="XX31" s="90">
        <f t="shared" si="389"/>
        <v>0</v>
      </c>
      <c r="XY31" s="90">
        <f t="shared" si="390"/>
        <v>1.72</v>
      </c>
      <c r="XZ31" s="90">
        <f t="shared" si="391"/>
        <v>0</v>
      </c>
      <c r="YA31" s="90">
        <f t="shared" si="392"/>
        <v>0</v>
      </c>
      <c r="YB31" s="90">
        <f t="shared" si="537"/>
        <v>0</v>
      </c>
      <c r="YC31" s="90">
        <f t="shared" si="537"/>
        <v>0</v>
      </c>
      <c r="YD31" s="90">
        <f t="shared" si="394"/>
        <v>1.72</v>
      </c>
      <c r="YE31" s="90">
        <f t="shared" si="395"/>
        <v>6.12</v>
      </c>
      <c r="YF31" s="90">
        <f t="shared" si="396"/>
        <v>0.65</v>
      </c>
      <c r="YG31" s="90">
        <f t="shared" si="397"/>
        <v>16.59</v>
      </c>
      <c r="YI31" s="103" t="s">
        <v>502</v>
      </c>
      <c r="YK31" s="90">
        <f t="shared" si="398"/>
        <v>1.07</v>
      </c>
      <c r="YL31" s="90">
        <f t="shared" si="538"/>
        <v>0.54</v>
      </c>
      <c r="YM31" s="90">
        <f t="shared" si="538"/>
        <v>1.72</v>
      </c>
      <c r="YN31" s="90">
        <f t="shared" si="400"/>
        <v>3.64</v>
      </c>
      <c r="YO31" s="90">
        <f t="shared" si="401"/>
        <v>9.6199999999999992</v>
      </c>
      <c r="YP31" s="90">
        <f t="shared" si="402"/>
        <v>0</v>
      </c>
      <c r="YQ31" s="90">
        <f t="shared" si="403"/>
        <v>16.59</v>
      </c>
      <c r="YR31" s="90">
        <f t="shared" si="404"/>
        <v>0</v>
      </c>
      <c r="YS31" s="104">
        <f t="shared" si="405"/>
        <v>16.59</v>
      </c>
      <c r="YT31" s="104">
        <f t="shared" si="406"/>
        <v>0</v>
      </c>
      <c r="YY31" s="90">
        <f t="shared" si="407"/>
        <v>7.98</v>
      </c>
      <c r="YZ31" s="90">
        <f t="shared" si="408"/>
        <v>4.18</v>
      </c>
      <c r="ZA31" s="90">
        <f t="shared" si="409"/>
        <v>0.57999999999999996</v>
      </c>
      <c r="ZB31" s="90">
        <f t="shared" si="410"/>
        <v>3.22</v>
      </c>
      <c r="ZC31" s="90">
        <f t="shared" si="411"/>
        <v>0</v>
      </c>
      <c r="ZD31" s="90">
        <f t="shared" si="412"/>
        <v>0</v>
      </c>
      <c r="ZE31" s="90">
        <f t="shared" si="413"/>
        <v>0</v>
      </c>
      <c r="ZF31" s="90">
        <f t="shared" si="414"/>
        <v>0</v>
      </c>
      <c r="ZG31" s="90">
        <f t="shared" si="415"/>
        <v>0</v>
      </c>
      <c r="ZH31" s="90">
        <f t="shared" si="416"/>
        <v>0</v>
      </c>
      <c r="ZI31" s="90">
        <f t="shared" si="417"/>
        <v>0</v>
      </c>
      <c r="ZJ31" s="90">
        <f t="shared" si="418"/>
        <v>0</v>
      </c>
      <c r="ZK31" s="90">
        <f t="shared" si="419"/>
        <v>0</v>
      </c>
      <c r="ZL31" s="90">
        <f t="shared" si="420"/>
        <v>0.03</v>
      </c>
      <c r="ZM31" s="90">
        <f t="shared" si="421"/>
        <v>4.1100000000000003</v>
      </c>
      <c r="ZN31" s="90">
        <f t="shared" si="422"/>
        <v>18.34</v>
      </c>
      <c r="ZO31" s="90">
        <f t="shared" si="423"/>
        <v>7.84</v>
      </c>
      <c r="ZP31" s="90">
        <f t="shared" si="424"/>
        <v>15.12</v>
      </c>
      <c r="ZQ31" s="90">
        <f t="shared" si="425"/>
        <v>0</v>
      </c>
      <c r="ZR31" s="90">
        <f t="shared" si="426"/>
        <v>15.12</v>
      </c>
      <c r="ZS31" s="97">
        <v>227</v>
      </c>
      <c r="ZT31" s="97">
        <v>230.38</v>
      </c>
      <c r="ZU31" s="90">
        <f t="shared" si="427"/>
        <v>0.84</v>
      </c>
      <c r="ZV31" s="90">
        <f t="shared" si="428"/>
        <v>0.28999999999999998</v>
      </c>
      <c r="ZW31" s="90">
        <v>0.11989898989898991</v>
      </c>
      <c r="ZX31" s="90">
        <f t="shared" si="429"/>
        <v>0.28339999999999999</v>
      </c>
      <c r="ZY31" s="90">
        <v>0.38175323599898991</v>
      </c>
      <c r="ZZ31" s="90">
        <f t="shared" si="430"/>
        <v>1.1299999999999999</v>
      </c>
      <c r="AAA31" s="90">
        <f t="shared" si="431"/>
        <v>28.34</v>
      </c>
      <c r="AAB31" s="90">
        <f t="shared" si="432"/>
        <v>28.34</v>
      </c>
      <c r="AAC31" s="90">
        <f t="shared" si="433"/>
        <v>0</v>
      </c>
      <c r="AAD31" s="90"/>
      <c r="AAE31" s="90">
        <f t="shared" si="434"/>
        <v>28.34</v>
      </c>
      <c r="AAF31" s="90">
        <v>16.59</v>
      </c>
      <c r="AAG31" s="90">
        <f t="shared" si="435"/>
        <v>170.82579867389993</v>
      </c>
      <c r="AAH31" s="90">
        <f t="shared" si="436"/>
        <v>0</v>
      </c>
      <c r="AAI31" s="90">
        <v>0</v>
      </c>
      <c r="AAJ31" s="90"/>
      <c r="AAK31" s="1">
        <v>17.72</v>
      </c>
      <c r="AAL31" s="104">
        <f t="shared" si="437"/>
        <v>10.620000000000001</v>
      </c>
      <c r="AAM31" s="103" t="s">
        <v>439</v>
      </c>
      <c r="AAN31" s="105">
        <v>8</v>
      </c>
      <c r="AAO31" s="90">
        <f t="shared" si="438"/>
        <v>8.74</v>
      </c>
      <c r="AAP31" s="90">
        <v>4.21</v>
      </c>
      <c r="AAQ31" s="90">
        <f t="shared" si="439"/>
        <v>4.18</v>
      </c>
      <c r="AAR31" s="90">
        <v>0.57999999999999996</v>
      </c>
      <c r="AAS31" s="90">
        <f t="shared" si="440"/>
        <v>0.88</v>
      </c>
      <c r="AAT31" s="90">
        <f t="shared" si="441"/>
        <v>151.72413793103451</v>
      </c>
      <c r="AAU31" s="90">
        <v>3.21</v>
      </c>
      <c r="AAV31" s="90">
        <f t="shared" si="442"/>
        <v>3.22</v>
      </c>
      <c r="AAW31" s="90">
        <f t="shared" si="443"/>
        <v>100.3115264797508</v>
      </c>
      <c r="AAX31" s="90">
        <f t="shared" si="444"/>
        <v>0.46</v>
      </c>
      <c r="AAY31" s="90">
        <f t="shared" si="445"/>
        <v>0</v>
      </c>
      <c r="AAZ31" s="90">
        <f t="shared" si="446"/>
        <v>0</v>
      </c>
      <c r="ABA31" s="90">
        <f t="shared" si="447"/>
        <v>0</v>
      </c>
      <c r="ABB31" s="90">
        <f t="shared" si="448"/>
        <v>0</v>
      </c>
      <c r="ABC31" s="90">
        <v>0</v>
      </c>
      <c r="ABD31" s="90">
        <f t="shared" si="449"/>
        <v>0</v>
      </c>
      <c r="ABE31" s="90"/>
      <c r="ABF31" s="90">
        <v>0</v>
      </c>
      <c r="ABG31" s="90">
        <f t="shared" si="450"/>
        <v>0</v>
      </c>
      <c r="ABH31" s="90"/>
      <c r="ABI31" s="90">
        <f t="shared" si="451"/>
        <v>0</v>
      </c>
      <c r="ABJ31" s="90">
        <f t="shared" si="452"/>
        <v>0</v>
      </c>
      <c r="ABK31" s="90">
        <v>0</v>
      </c>
      <c r="ABL31" s="90">
        <f t="shared" si="453"/>
        <v>0</v>
      </c>
      <c r="ABM31" s="90">
        <f t="shared" si="454"/>
        <v>0</v>
      </c>
      <c r="ABN31" s="90">
        <f t="shared" si="455"/>
        <v>0.02</v>
      </c>
      <c r="ABO31" s="90">
        <v>3.91</v>
      </c>
      <c r="ABP31" s="90">
        <f t="shared" si="456"/>
        <v>4.1100000000000003</v>
      </c>
      <c r="ABQ31" s="90">
        <f t="shared" si="457"/>
        <v>105.1150895140665</v>
      </c>
      <c r="ABR31" s="90">
        <f t="shared" si="458"/>
        <v>18.34</v>
      </c>
      <c r="ABS31" s="90">
        <f t="shared" si="459"/>
        <v>7.84</v>
      </c>
      <c r="ABT31" s="90">
        <v>5.12</v>
      </c>
      <c r="ABU31" s="90">
        <f t="shared" si="460"/>
        <v>15.12</v>
      </c>
      <c r="ABV31" s="90">
        <f t="shared" si="461"/>
        <v>295.3125</v>
      </c>
      <c r="ABW31" s="90">
        <f t="shared" si="462"/>
        <v>0.01</v>
      </c>
      <c r="ABX31" s="90">
        <f t="shared" si="463"/>
        <v>15.129999999999999</v>
      </c>
      <c r="ABY31" s="97">
        <v>227</v>
      </c>
      <c r="ABZ31" s="97">
        <v>230.38</v>
      </c>
      <c r="ACA31" s="90">
        <f t="shared" si="464"/>
        <v>0.84</v>
      </c>
      <c r="ACB31" s="90">
        <f t="shared" si="465"/>
        <v>0.28999999999999998</v>
      </c>
      <c r="ACC31" s="90">
        <v>0.11989898989898991</v>
      </c>
      <c r="ACD31" s="90">
        <f t="shared" si="466"/>
        <v>0.28649999999999998</v>
      </c>
      <c r="ACE31" s="90">
        <v>0.38175323599898991</v>
      </c>
      <c r="ACF31" s="90">
        <v>0.69</v>
      </c>
      <c r="ACG31" s="90">
        <f t="shared" si="467"/>
        <v>1.1299999999999999</v>
      </c>
      <c r="ACH31" s="90">
        <f t="shared" si="468"/>
        <v>163.76811594202897</v>
      </c>
      <c r="ACI31" s="90">
        <f t="shared" si="469"/>
        <v>29.099999999999998</v>
      </c>
      <c r="ACJ31" s="90">
        <f t="shared" si="470"/>
        <v>28.65</v>
      </c>
      <c r="ACK31" s="90">
        <f t="shared" si="471"/>
        <v>-0.44999999999999929</v>
      </c>
      <c r="ACL31" s="90"/>
      <c r="ACM31" s="90">
        <f t="shared" si="472"/>
        <v>29.099999999999998</v>
      </c>
      <c r="ACN31" s="90">
        <f t="shared" si="473"/>
        <v>0</v>
      </c>
      <c r="ACO31" s="90">
        <f t="shared" si="474"/>
        <v>29.099999999999998</v>
      </c>
      <c r="ACP31" s="90">
        <v>17.720000000000002</v>
      </c>
      <c r="ACQ31" s="90">
        <f t="shared" si="475"/>
        <v>164.22121896162525</v>
      </c>
      <c r="ACR31" s="90">
        <f t="shared" si="476"/>
        <v>0</v>
      </c>
      <c r="ACS31" s="90">
        <v>0</v>
      </c>
      <c r="ACT31" s="90"/>
      <c r="ACU31" s="90">
        <f t="shared" si="477"/>
        <v>18.623720000000002</v>
      </c>
      <c r="ACV31" s="90">
        <f t="shared" si="478"/>
        <v>-10.476279999999996</v>
      </c>
      <c r="ACX31" s="106" t="s">
        <v>503</v>
      </c>
      <c r="ACY31" s="107"/>
      <c r="ACZ31" s="107">
        <f>70000+20000</f>
        <v>90000</v>
      </c>
      <c r="ADB31" s="90">
        <f t="shared" si="479"/>
        <v>4.1100000000000003</v>
      </c>
      <c r="ADC31" s="90">
        <f t="shared" si="480"/>
        <v>8.74</v>
      </c>
      <c r="ADD31" s="90">
        <f t="shared" si="481"/>
        <v>4.18</v>
      </c>
      <c r="ADE31" s="90">
        <f t="shared" si="517"/>
        <v>1.34</v>
      </c>
      <c r="ADF31" s="90">
        <f t="shared" si="483"/>
        <v>0.88</v>
      </c>
      <c r="ADG31" s="90">
        <f t="shared" si="539"/>
        <v>0.46</v>
      </c>
      <c r="ADH31" s="90">
        <f t="shared" si="539"/>
        <v>0</v>
      </c>
      <c r="ADI31" s="90">
        <f t="shared" si="539"/>
        <v>0</v>
      </c>
      <c r="ADJ31" s="90">
        <f t="shared" si="485"/>
        <v>3.22</v>
      </c>
      <c r="ADK31" s="90">
        <f t="shared" si="486"/>
        <v>0</v>
      </c>
      <c r="ADL31" s="90">
        <f t="shared" si="487"/>
        <v>0</v>
      </c>
      <c r="ADM31" s="90">
        <f t="shared" si="540"/>
        <v>0</v>
      </c>
      <c r="ADN31" s="90">
        <f t="shared" si="540"/>
        <v>0</v>
      </c>
      <c r="ADO31" s="90">
        <f t="shared" si="489"/>
        <v>3.22</v>
      </c>
      <c r="ADP31" s="90">
        <f t="shared" si="490"/>
        <v>15.12</v>
      </c>
      <c r="ADQ31" s="90">
        <f t="shared" si="491"/>
        <v>1.1299999999999999</v>
      </c>
      <c r="ADR31" s="90">
        <f t="shared" si="492"/>
        <v>29.099999999999998</v>
      </c>
      <c r="ADU31" s="90">
        <f t="shared" si="493"/>
        <v>1.1499999999999999</v>
      </c>
      <c r="ADV31" s="90">
        <f t="shared" si="494"/>
        <v>0.88</v>
      </c>
      <c r="ADW31" s="90">
        <f t="shared" si="495"/>
        <v>3.22</v>
      </c>
      <c r="ADX31" s="90">
        <f t="shared" si="496"/>
        <v>4.1100000000000003</v>
      </c>
      <c r="ADY31" s="90">
        <f t="shared" si="497"/>
        <v>19.279999999999998</v>
      </c>
      <c r="ADZ31" s="90">
        <f t="shared" si="498"/>
        <v>0</v>
      </c>
      <c r="AEA31" s="90">
        <f t="shared" si="499"/>
        <v>29.099999999999998</v>
      </c>
      <c r="AEB31" s="90">
        <f t="shared" si="500"/>
        <v>0</v>
      </c>
      <c r="AEC31" s="104">
        <f t="shared" si="501"/>
        <v>28.639999999999997</v>
      </c>
      <c r="AED31" s="104">
        <f t="shared" si="502"/>
        <v>0.46000000000000085</v>
      </c>
      <c r="AEG31" s="1">
        <v>8</v>
      </c>
      <c r="AEH31" s="1">
        <v>4.21</v>
      </c>
      <c r="AEI31" s="1">
        <v>0.57999999999999996</v>
      </c>
      <c r="AEJ31" s="1">
        <v>3.21</v>
      </c>
      <c r="AEK31" s="1">
        <v>0</v>
      </c>
      <c r="AEL31" s="1">
        <v>0</v>
      </c>
      <c r="AEM31" s="1">
        <v>0</v>
      </c>
      <c r="AEN31" s="1">
        <v>0</v>
      </c>
      <c r="AEO31" s="1">
        <v>0</v>
      </c>
      <c r="AEP31" s="1">
        <v>0</v>
      </c>
      <c r="AEQ31" s="1">
        <v>0</v>
      </c>
      <c r="AER31" s="1">
        <v>0</v>
      </c>
      <c r="AES31" s="1">
        <v>0</v>
      </c>
      <c r="AET31" s="1">
        <v>0</v>
      </c>
      <c r="AEU31" s="1">
        <v>0</v>
      </c>
      <c r="AEV31" s="1">
        <v>0.02</v>
      </c>
      <c r="AEW31" s="1">
        <v>3.91</v>
      </c>
      <c r="AEX31" s="1">
        <v>8.33</v>
      </c>
      <c r="AEY31" s="1">
        <v>7.84</v>
      </c>
      <c r="AEZ31" s="1">
        <v>5.12</v>
      </c>
      <c r="AFA31" s="1">
        <v>0.01</v>
      </c>
      <c r="AFB31" s="1">
        <v>5.13</v>
      </c>
      <c r="AFC31" s="1">
        <v>227</v>
      </c>
      <c r="AFD31" s="1">
        <v>230.38</v>
      </c>
      <c r="AFE31" s="1">
        <v>0.51</v>
      </c>
      <c r="AFF31" s="1">
        <v>0.18</v>
      </c>
      <c r="AFG31" s="1">
        <v>0.11989898989898991</v>
      </c>
      <c r="AFH31" s="1">
        <v>0.17730000000000004</v>
      </c>
      <c r="AFI31" s="1">
        <v>0.38175323599898991</v>
      </c>
      <c r="AFJ31" s="1">
        <v>0.69</v>
      </c>
      <c r="AFK31" s="1">
        <v>17.720000000000002</v>
      </c>
      <c r="AFL31" s="1">
        <v>17.730000000000004</v>
      </c>
      <c r="AFM31" s="1">
        <v>1.0000000000001563E-2</v>
      </c>
      <c r="AFO31" s="1">
        <v>17.720000000000002</v>
      </c>
      <c r="AFP31" s="1">
        <v>0</v>
      </c>
      <c r="AFQ31" s="1">
        <v>17.72</v>
      </c>
      <c r="AFX31" s="1">
        <v>18.420000000000002</v>
      </c>
    </row>
    <row r="32" spans="1:856" s="1" customFormat="1" ht="63.75" customHeight="1">
      <c r="A32" s="88">
        <v>24</v>
      </c>
      <c r="B32" s="20"/>
      <c r="C32" s="89" t="s">
        <v>504</v>
      </c>
      <c r="D32" s="20"/>
      <c r="E32" s="20" t="s">
        <v>437</v>
      </c>
      <c r="F32" s="20" t="s">
        <v>438</v>
      </c>
      <c r="G32" s="20">
        <v>0.8</v>
      </c>
      <c r="H32" s="20">
        <v>890.7</v>
      </c>
      <c r="I32" s="20">
        <f>890.7+3.9+3.9</f>
        <v>898.5</v>
      </c>
      <c r="J32" s="20">
        <f t="shared" si="0"/>
        <v>718.80000000000007</v>
      </c>
      <c r="K32" s="20">
        <v>18</v>
      </c>
      <c r="L32" s="20">
        <v>35</v>
      </c>
      <c r="M32" s="20">
        <v>38</v>
      </c>
      <c r="N32" s="20">
        <v>937.21</v>
      </c>
      <c r="O32" s="90">
        <f t="shared" si="1"/>
        <v>1.04</v>
      </c>
      <c r="P32" s="20">
        <v>3456</v>
      </c>
      <c r="Q32" s="90">
        <f>P32/12</f>
        <v>288</v>
      </c>
      <c r="R32" s="90">
        <f t="shared" si="2"/>
        <v>0.32</v>
      </c>
      <c r="S32" s="20">
        <v>84.6</v>
      </c>
      <c r="T32" s="20">
        <v>2.6</v>
      </c>
      <c r="U32" s="20">
        <v>3.13</v>
      </c>
      <c r="V32" s="91">
        <f t="shared" si="3"/>
        <v>688.47</v>
      </c>
      <c r="W32" s="20">
        <v>2.1000000000000001E-2</v>
      </c>
      <c r="X32" s="20">
        <f t="shared" si="4"/>
        <v>33.42</v>
      </c>
      <c r="Y32" s="91">
        <f t="shared" si="5"/>
        <v>59.37</v>
      </c>
      <c r="Z32" s="20"/>
      <c r="AA32" s="20"/>
      <c r="AB32" s="20"/>
      <c r="AC32" s="91">
        <f t="shared" si="6"/>
        <v>747.85</v>
      </c>
      <c r="AD32" s="90">
        <f t="shared" si="7"/>
        <v>0.83</v>
      </c>
      <c r="AE32" s="92">
        <f t="shared" si="8"/>
        <v>8974.2000000000007</v>
      </c>
      <c r="AF32" s="20">
        <v>38</v>
      </c>
      <c r="AG32" s="20">
        <v>36</v>
      </c>
      <c r="AH32" s="20">
        <v>36</v>
      </c>
      <c r="AI32" s="20">
        <v>33</v>
      </c>
      <c r="AJ32" s="20">
        <v>1.6</v>
      </c>
      <c r="AK32" s="90">
        <f t="shared" si="9"/>
        <v>4.8</v>
      </c>
      <c r="AL32" s="90">
        <v>391.01</v>
      </c>
      <c r="AM32" s="90">
        <f t="shared" si="10"/>
        <v>1876.85</v>
      </c>
      <c r="AN32" s="20">
        <v>42</v>
      </c>
      <c r="AO32" s="20">
        <v>40</v>
      </c>
      <c r="AP32" s="20">
        <v>38</v>
      </c>
      <c r="AQ32" s="20">
        <v>42</v>
      </c>
      <c r="AR32" s="20">
        <v>40</v>
      </c>
      <c r="AS32" s="20">
        <v>37</v>
      </c>
      <c r="AT32" s="20">
        <f t="shared" si="11"/>
        <v>2</v>
      </c>
      <c r="AU32" s="20">
        <v>1.6</v>
      </c>
      <c r="AV32" s="90">
        <f t="shared" si="12"/>
        <v>5.07</v>
      </c>
      <c r="AW32" s="90">
        <f>ROUND((187.84*6+189.92*6)/12,2)</f>
        <v>188.88</v>
      </c>
      <c r="AX32" s="90">
        <v>931.81</v>
      </c>
      <c r="AY32" s="90">
        <f t="shared" si="14"/>
        <v>1.04</v>
      </c>
      <c r="AZ32" s="90">
        <f t="shared" si="15"/>
        <v>1981.12</v>
      </c>
      <c r="BA32" s="90">
        <f t="shared" si="16"/>
        <v>-1049.31</v>
      </c>
      <c r="BB32" s="90">
        <v>931.81</v>
      </c>
      <c r="BC32" s="90">
        <v>1.04</v>
      </c>
      <c r="BD32" s="92">
        <f t="shared" si="17"/>
        <v>11181.72</v>
      </c>
      <c r="BE32" s="90"/>
      <c r="BF32" s="90">
        <f t="shared" si="18"/>
        <v>0</v>
      </c>
      <c r="BG32" s="90">
        <v>391.01</v>
      </c>
      <c r="BH32" s="90">
        <f t="shared" si="19"/>
        <v>1982.42</v>
      </c>
      <c r="BI32" s="90">
        <f t="shared" si="20"/>
        <v>2.21</v>
      </c>
      <c r="BJ32" s="90">
        <f t="shared" si="21"/>
        <v>212.5</v>
      </c>
      <c r="BK32" s="90">
        <f t="shared" si="22"/>
        <v>1982.42</v>
      </c>
      <c r="BL32" s="90">
        <f t="shared" si="23"/>
        <v>2.21</v>
      </c>
      <c r="BM32" s="90"/>
      <c r="BN32" s="90">
        <f t="shared" si="24"/>
        <v>0</v>
      </c>
      <c r="BO32" s="90">
        <f t="shared" si="25"/>
        <v>1982.42</v>
      </c>
      <c r="BP32" s="90">
        <f t="shared" si="26"/>
        <v>2.206366165831942</v>
      </c>
      <c r="BQ32" s="90"/>
      <c r="BR32" s="90">
        <f t="shared" si="27"/>
        <v>0</v>
      </c>
      <c r="BS32" s="90">
        <f t="shared" si="28"/>
        <v>1982.42</v>
      </c>
      <c r="BT32" s="90">
        <f t="shared" si="29"/>
        <v>2.206366165831942</v>
      </c>
      <c r="BU32" s="90"/>
      <c r="BV32" s="93">
        <v>1.4356370000000001</v>
      </c>
      <c r="BW32" s="90">
        <f t="shared" si="30"/>
        <v>1289.9198445</v>
      </c>
      <c r="BX32" s="90">
        <f t="shared" si="31"/>
        <v>1367.3150351700001</v>
      </c>
      <c r="BY32" s="90"/>
      <c r="BZ32" s="90"/>
      <c r="CA32" s="90">
        <v>0.2651</v>
      </c>
      <c r="CB32" s="90">
        <f t="shared" si="542"/>
        <v>238.19235</v>
      </c>
      <c r="CC32" s="90">
        <v>0.71072749999999996</v>
      </c>
      <c r="CD32" s="90">
        <f t="shared" si="33"/>
        <v>169.289853434625</v>
      </c>
      <c r="CE32" s="90">
        <f t="shared" si="34"/>
        <v>255.98344944549899</v>
      </c>
      <c r="CF32" s="90">
        <v>248.81659490862111</v>
      </c>
      <c r="CG32" s="90">
        <f>I32*0.278135479</f>
        <v>249.90472788150001</v>
      </c>
      <c r="CH32" s="90">
        <f t="shared" si="35"/>
        <v>261.89999999999998</v>
      </c>
      <c r="CI32" s="90">
        <f t="shared" si="524"/>
        <v>274.86377897088056</v>
      </c>
      <c r="CJ32" s="90">
        <f t="shared" si="36"/>
        <v>276.3</v>
      </c>
      <c r="CK32" s="90">
        <f t="shared" si="37"/>
        <v>292.22305989876844</v>
      </c>
      <c r="CL32" s="90">
        <f t="shared" si="38"/>
        <v>292.22305989876844</v>
      </c>
      <c r="CM32" s="94">
        <v>0.14899999999999999</v>
      </c>
      <c r="CN32" s="90">
        <f t="shared" si="39"/>
        <v>192.19805683049998</v>
      </c>
      <c r="CO32" s="90">
        <f t="shared" si="40"/>
        <v>203.72994024033</v>
      </c>
      <c r="CP32" s="90"/>
      <c r="CQ32" s="90">
        <v>3.9539251999999997E-2</v>
      </c>
      <c r="CR32" s="90">
        <f t="shared" si="543"/>
        <v>35.526017921999994</v>
      </c>
      <c r="CS32" s="90">
        <v>0.71072749999999996</v>
      </c>
      <c r="CT32" s="90">
        <f t="shared" si="42"/>
        <v>25.249317902658248</v>
      </c>
      <c r="CU32" s="90">
        <f t="shared" si="43"/>
        <v>38.179532687494692</v>
      </c>
      <c r="CV32" s="90">
        <f>I32*0.085949</f>
        <v>77.225176500000003</v>
      </c>
      <c r="CW32" s="90">
        <f t="shared" si="44"/>
        <v>80.930000000000007</v>
      </c>
      <c r="CX32" s="90">
        <f t="shared" si="525"/>
        <v>84.935951249001008</v>
      </c>
      <c r="CY32" s="90">
        <f t="shared" si="45"/>
        <v>85.38</v>
      </c>
      <c r="CZ32" s="90">
        <f t="shared" si="46"/>
        <v>90.300161273796604</v>
      </c>
      <c r="DA32" s="90">
        <f t="shared" si="47"/>
        <v>90.300161273796604</v>
      </c>
      <c r="DB32" s="93">
        <v>1.4169099999999999</v>
      </c>
      <c r="DC32" s="90">
        <f t="shared" si="48"/>
        <v>1273.0936349999999</v>
      </c>
      <c r="DD32" s="90">
        <f t="shared" si="49"/>
        <v>1349.4792531000001</v>
      </c>
      <c r="DE32" s="90"/>
      <c r="DF32" s="90"/>
      <c r="DG32" s="90">
        <v>0.16261500000000001</v>
      </c>
      <c r="DH32" s="90">
        <f t="shared" si="544"/>
        <v>146.1095775</v>
      </c>
      <c r="DI32" s="90">
        <v>0.71072749999999996</v>
      </c>
      <c r="DJ32" s="90">
        <f t="shared" si="51"/>
        <v>103.84409474263124</v>
      </c>
      <c r="DK32" s="90">
        <f t="shared" si="52"/>
        <v>157.02281641486164</v>
      </c>
      <c r="DL32" s="90">
        <f>I32*0.13825173</f>
        <v>124.21917940499999</v>
      </c>
      <c r="DM32" s="90">
        <f t="shared" si="53"/>
        <v>130.18</v>
      </c>
      <c r="DN32" s="90">
        <f t="shared" si="526"/>
        <v>136.62377528228038</v>
      </c>
      <c r="DO32" s="90">
        <f t="shared" si="54"/>
        <v>137.34</v>
      </c>
      <c r="DP32" s="90">
        <f t="shared" si="55"/>
        <v>145.25237853234697</v>
      </c>
      <c r="DQ32" s="90">
        <f t="shared" si="56"/>
        <v>145.25237853234697</v>
      </c>
      <c r="DR32" s="93">
        <v>5.6880149999999997E-2</v>
      </c>
      <c r="DS32" s="90">
        <f t="shared" si="57"/>
        <v>51.106814774999997</v>
      </c>
      <c r="DT32" s="90">
        <f t="shared" si="58"/>
        <v>54.173223661499996</v>
      </c>
      <c r="DU32" s="90"/>
      <c r="DV32" s="90">
        <v>6.1506E-3</v>
      </c>
      <c r="DW32" s="90">
        <f t="shared" si="545"/>
        <v>5.5263140999999996</v>
      </c>
      <c r="DX32" s="90">
        <v>0.71072749999999996</v>
      </c>
      <c r="DY32" s="90">
        <f t="shared" si="60"/>
        <v>3.9277034045077492</v>
      </c>
      <c r="DZ32" s="90">
        <f t="shared" si="61"/>
        <v>5.9390863981874231</v>
      </c>
      <c r="EA32" s="90">
        <f t="shared" si="62"/>
        <v>6.22</v>
      </c>
      <c r="EB32" s="90">
        <f t="shared" si="527"/>
        <v>6.5278835631877703</v>
      </c>
      <c r="EC32" s="90">
        <f t="shared" si="63"/>
        <v>6.56</v>
      </c>
      <c r="ED32" s="90">
        <f t="shared" si="64"/>
        <v>6.9401581999631139</v>
      </c>
      <c r="EE32" s="90">
        <f t="shared" si="65"/>
        <v>6.9401581999631139</v>
      </c>
      <c r="EF32" s="94">
        <v>0.85293354333000004</v>
      </c>
      <c r="EG32" s="90">
        <f t="shared" si="66"/>
        <v>613.08863094560411</v>
      </c>
      <c r="EH32" s="90">
        <f t="shared" si="67"/>
        <v>649.87394880234035</v>
      </c>
      <c r="EI32" s="90"/>
      <c r="EJ32" s="90">
        <v>0.58975</v>
      </c>
      <c r="EK32" s="90">
        <f t="shared" si="68"/>
        <v>423.91230000000002</v>
      </c>
      <c r="EL32" s="90">
        <v>0.71072749999999996</v>
      </c>
      <c r="EM32" s="90">
        <f t="shared" si="69"/>
        <v>301.28612919824997</v>
      </c>
      <c r="EN32" s="90">
        <f t="shared" si="70"/>
        <v>455.57522236283069</v>
      </c>
      <c r="EO32" s="90">
        <f>J32*0.618111446</f>
        <v>444.29850738480008</v>
      </c>
      <c r="EP32" s="90">
        <f t="shared" si="71"/>
        <v>465.62</v>
      </c>
      <c r="EQ32" s="90">
        <f t="shared" si="528"/>
        <v>488.66770814975717</v>
      </c>
      <c r="ER32" s="90">
        <f t="shared" si="72"/>
        <v>491.23</v>
      </c>
      <c r="ES32" s="90">
        <f t="shared" si="73"/>
        <v>519.52997766347664</v>
      </c>
      <c r="ET32" s="90">
        <f t="shared" si="74"/>
        <v>519.52997766347664</v>
      </c>
      <c r="EU32" s="94">
        <v>0.14899999999999999</v>
      </c>
      <c r="EV32" s="90">
        <f t="shared" si="75"/>
        <v>91.350206010895008</v>
      </c>
      <c r="EW32" s="90">
        <f t="shared" si="76"/>
        <v>96.831218371548715</v>
      </c>
      <c r="EX32" s="90"/>
      <c r="EY32" s="90">
        <v>8.7870000000000004E-2</v>
      </c>
      <c r="EZ32" s="90">
        <f t="shared" si="77"/>
        <v>63.160956000000006</v>
      </c>
      <c r="FA32" s="90">
        <v>0.71072749999999996</v>
      </c>
      <c r="FB32" s="90">
        <f t="shared" si="78"/>
        <v>44.890228355490002</v>
      </c>
      <c r="FC32" s="90">
        <f t="shared" si="79"/>
        <v>67.878583788082977</v>
      </c>
      <c r="FD32" s="90">
        <f>J32*0.1911329</f>
        <v>137.38632852000001</v>
      </c>
      <c r="FE32" s="90">
        <f t="shared" si="80"/>
        <v>143.97999999999999</v>
      </c>
      <c r="FF32" s="90">
        <f t="shared" si="529"/>
        <v>151.10686100125002</v>
      </c>
      <c r="FG32" s="90">
        <f t="shared" si="81"/>
        <v>151.9</v>
      </c>
      <c r="FH32" s="90">
        <f t="shared" si="82"/>
        <v>160.65015717535195</v>
      </c>
      <c r="FI32" s="90">
        <f t="shared" si="83"/>
        <v>160.65015717535195</v>
      </c>
      <c r="FJ32" s="93">
        <v>0.49981642240000002</v>
      </c>
      <c r="FK32" s="90">
        <f t="shared" si="84"/>
        <v>359.26804442112007</v>
      </c>
      <c r="FL32" s="90">
        <f t="shared" si="85"/>
        <v>380.82412708638731</v>
      </c>
      <c r="FM32" s="90"/>
      <c r="FN32" s="90">
        <v>0.35812500000000003</v>
      </c>
      <c r="FO32" s="90">
        <f t="shared" si="86"/>
        <v>257.42025000000007</v>
      </c>
      <c r="FP32" s="90">
        <v>0.71072749999999996</v>
      </c>
      <c r="FQ32" s="90">
        <f t="shared" si="87"/>
        <v>182.95565073187504</v>
      </c>
      <c r="FR32" s="90">
        <f t="shared" si="88"/>
        <v>276.64752269383433</v>
      </c>
      <c r="FS32" s="90">
        <v>217.13600112360228</v>
      </c>
      <c r="FT32" s="90">
        <f t="shared" si="89"/>
        <v>227.56</v>
      </c>
      <c r="FU32" s="90">
        <f>J32*0.30365526</f>
        <v>218.267400888</v>
      </c>
      <c r="FV32" s="90">
        <f t="shared" si="90"/>
        <v>228.74</v>
      </c>
      <c r="FW32" s="90">
        <f t="shared" si="530"/>
        <v>240.06239328674769</v>
      </c>
      <c r="FX32" s="90">
        <f t="shared" si="91"/>
        <v>241.32</v>
      </c>
      <c r="FY32" s="90">
        <f t="shared" si="92"/>
        <v>255.22375991311299</v>
      </c>
      <c r="FZ32" s="90">
        <f t="shared" si="93"/>
        <v>255.22375991311299</v>
      </c>
      <c r="GA32" s="94">
        <v>1.352261642E-2</v>
      </c>
      <c r="GB32" s="90">
        <f t="shared" si="94"/>
        <v>9.7200566826960006</v>
      </c>
      <c r="GC32" s="90">
        <f t="shared" si="95"/>
        <v>10.303260083657761</v>
      </c>
      <c r="GD32" s="90"/>
      <c r="GE32" s="90">
        <v>1.0749999999999999E-2</v>
      </c>
      <c r="GF32" s="90">
        <f t="shared" si="96"/>
        <v>7.7271000000000001</v>
      </c>
      <c r="GG32" s="90">
        <v>0.71072749999999996</v>
      </c>
      <c r="GH32" s="90">
        <f t="shared" si="97"/>
        <v>5.4918624652499997</v>
      </c>
      <c r="GI32" s="90">
        <f t="shared" si="98"/>
        <v>8.3042537353123027</v>
      </c>
      <c r="GJ32" s="90">
        <f t="shared" si="99"/>
        <v>8.6999999999999993</v>
      </c>
      <c r="GK32" s="90">
        <f t="shared" si="531"/>
        <v>9.1306409967417359</v>
      </c>
      <c r="GL32" s="90">
        <f t="shared" si="100"/>
        <v>9.18</v>
      </c>
      <c r="GM32" s="90">
        <f t="shared" si="101"/>
        <v>9.7072952314596606</v>
      </c>
      <c r="GN32" s="90">
        <f t="shared" si="102"/>
        <v>9.7072952314596606</v>
      </c>
      <c r="GO32" s="90">
        <v>3628.8</v>
      </c>
      <c r="GP32" s="90">
        <f t="shared" si="103"/>
        <v>302.40000000000003</v>
      </c>
      <c r="GQ32" s="90">
        <f>2381.4+138.6</f>
        <v>2520</v>
      </c>
      <c r="GR32" s="90">
        <f t="shared" si="104"/>
        <v>210</v>
      </c>
      <c r="GS32" s="90">
        <f t="shared" si="105"/>
        <v>512.40000000000009</v>
      </c>
      <c r="GT32" s="90">
        <f t="shared" si="106"/>
        <v>0.56999999999999995</v>
      </c>
      <c r="GU32" s="90">
        <v>4145.04</v>
      </c>
      <c r="GV32" s="90">
        <f>2257.2+132.24</f>
        <v>2389.4399999999996</v>
      </c>
      <c r="GW32" s="90">
        <f t="shared" si="107"/>
        <v>544.54</v>
      </c>
      <c r="GX32" s="90">
        <f t="shared" si="108"/>
        <v>0.61</v>
      </c>
      <c r="GY32" s="90">
        <v>7407.72</v>
      </c>
      <c r="GZ32" s="90">
        <f>2400.84+141.36</f>
        <v>2542.2000000000003</v>
      </c>
      <c r="HA32" s="90">
        <f t="shared" si="109"/>
        <v>829.16</v>
      </c>
      <c r="HB32" s="90">
        <f t="shared" si="110"/>
        <v>0.92</v>
      </c>
      <c r="HC32" s="90">
        <v>7407.72</v>
      </c>
      <c r="HD32" s="90">
        <f>2400.84+141.36</f>
        <v>2542.2000000000003</v>
      </c>
      <c r="HE32" s="90">
        <f t="shared" si="111"/>
        <v>829.16</v>
      </c>
      <c r="HF32" s="90">
        <f t="shared" si="112"/>
        <v>0.92</v>
      </c>
      <c r="HG32" s="90"/>
      <c r="HH32" s="90"/>
      <c r="HI32" s="90">
        <v>0.96</v>
      </c>
      <c r="HJ32" s="90">
        <f t="shared" si="113"/>
        <v>862.56</v>
      </c>
      <c r="HK32" s="90">
        <f t="shared" si="114"/>
        <v>1.0060767946577629</v>
      </c>
      <c r="HL32" s="90">
        <f t="shared" si="115"/>
        <v>903.96</v>
      </c>
      <c r="HM32" s="90">
        <v>1.07</v>
      </c>
      <c r="HN32" s="90">
        <f t="shared" si="116"/>
        <v>961.3950000000001</v>
      </c>
      <c r="HO32" s="90">
        <v>1.1499999999999999</v>
      </c>
      <c r="HP32" s="90">
        <f t="shared" si="117"/>
        <v>1033.28</v>
      </c>
      <c r="HQ32" s="90">
        <v>1.1499999999999999</v>
      </c>
      <c r="HR32" s="90">
        <f t="shared" si="118"/>
        <v>1033.28</v>
      </c>
      <c r="HS32" s="90">
        <v>0.31919999999999998</v>
      </c>
      <c r="HT32" s="90">
        <f t="shared" si="119"/>
        <v>286.80119999999999</v>
      </c>
      <c r="HU32" s="90" t="e">
        <f>HT32*#REF!</f>
        <v>#REF!</v>
      </c>
      <c r="HV32" s="90">
        <v>2.83</v>
      </c>
      <c r="HW32" s="90">
        <v>3.1</v>
      </c>
      <c r="HX32" s="90">
        <f t="shared" si="120"/>
        <v>2785.35</v>
      </c>
      <c r="HY32" s="90">
        <v>1.06</v>
      </c>
      <c r="HZ32" s="90">
        <f t="shared" si="121"/>
        <v>2952.471</v>
      </c>
      <c r="IA32" s="90">
        <f t="shared" si="122"/>
        <v>3.29</v>
      </c>
      <c r="IB32" s="90">
        <f t="shared" si="123"/>
        <v>3.45</v>
      </c>
      <c r="IC32" s="90">
        <f t="shared" si="124"/>
        <v>3099.8250000000003</v>
      </c>
      <c r="ID32" s="90">
        <f t="shared" si="125"/>
        <v>3.64</v>
      </c>
      <c r="IE32" s="90">
        <f t="shared" si="126"/>
        <v>3270.54</v>
      </c>
      <c r="IF32" s="90">
        <f t="shared" si="127"/>
        <v>3.64</v>
      </c>
      <c r="IG32" s="92">
        <f t="shared" si="128"/>
        <v>39246.479999999996</v>
      </c>
      <c r="IH32" s="90">
        <v>3.91</v>
      </c>
      <c r="II32" s="90">
        <f t="shared" si="129"/>
        <v>4.1100000000000003</v>
      </c>
      <c r="IJ32" s="90">
        <f t="shared" si="130"/>
        <v>3692.84</v>
      </c>
      <c r="IK32" s="90">
        <f t="shared" si="131"/>
        <v>4.1100000000000003</v>
      </c>
      <c r="IL32" s="90">
        <f t="shared" si="132"/>
        <v>3692.84</v>
      </c>
      <c r="IM32" s="90">
        <f t="shared" si="133"/>
        <v>4.1100000000000003</v>
      </c>
      <c r="IN32" s="90">
        <f t="shared" si="134"/>
        <v>3692.84</v>
      </c>
      <c r="IO32" s="90">
        <f t="shared" si="135"/>
        <v>4.1100000000000003</v>
      </c>
      <c r="IP32" s="93">
        <v>0.37052404126999999</v>
      </c>
      <c r="IQ32" s="90">
        <f t="shared" si="136"/>
        <v>266.33268086487601</v>
      </c>
      <c r="IR32" s="90">
        <f t="shared" si="137"/>
        <v>282.31264171676861</v>
      </c>
      <c r="IS32" s="90">
        <v>108693.96</v>
      </c>
      <c r="IT32" s="90">
        <v>3053.33</v>
      </c>
      <c r="IU32" s="94"/>
      <c r="IV32" s="94"/>
      <c r="IW32" s="94">
        <v>1.6976249999999999</v>
      </c>
      <c r="IX32" s="90">
        <f t="shared" si="138"/>
        <v>1220.2528500000001</v>
      </c>
      <c r="IY32" s="93">
        <v>0.56339614052999998</v>
      </c>
      <c r="IZ32" s="90">
        <f t="shared" si="139"/>
        <v>506.21143226620501</v>
      </c>
      <c r="JA32" s="90">
        <f t="shared" si="140"/>
        <v>530.51</v>
      </c>
      <c r="JB32" s="90">
        <f t="shared" si="532"/>
        <v>556.76969599786878</v>
      </c>
      <c r="JC32" s="90">
        <f t="shared" si="141"/>
        <v>559.69000000000005</v>
      </c>
      <c r="JD32" s="90">
        <f t="shared" si="142"/>
        <v>591.93301071743269</v>
      </c>
      <c r="JE32" s="90">
        <f t="shared" si="143"/>
        <v>591.93301071743269</v>
      </c>
      <c r="JF32" s="93">
        <v>4.2278943710000003E-2</v>
      </c>
      <c r="JG32" s="90">
        <f t="shared" si="144"/>
        <v>30.390104738748004</v>
      </c>
      <c r="JH32" s="90">
        <f t="shared" si="145"/>
        <v>32.213511023072883</v>
      </c>
      <c r="JI32" s="20">
        <v>462.98</v>
      </c>
      <c r="JJ32" s="20"/>
      <c r="JK32" s="20">
        <v>6.0624999999999998E-2</v>
      </c>
      <c r="JL32" s="90">
        <f t="shared" si="146"/>
        <v>43.577250000000006</v>
      </c>
      <c r="JM32" s="93">
        <v>6.7347080040000007E-2</v>
      </c>
      <c r="JN32" s="90">
        <f t="shared" si="147"/>
        <v>60.511351415940005</v>
      </c>
      <c r="JO32" s="90">
        <f t="shared" si="148"/>
        <v>63.42</v>
      </c>
      <c r="JP32" s="90">
        <f t="shared" si="533"/>
        <v>66.559224369351838</v>
      </c>
      <c r="JQ32" s="90">
        <f t="shared" si="149"/>
        <v>66.91</v>
      </c>
      <c r="JR32" s="90">
        <f t="shared" si="150"/>
        <v>70.762834894157677</v>
      </c>
      <c r="JS32" s="90">
        <f t="shared" si="151"/>
        <v>70.762834894157677</v>
      </c>
      <c r="JT32" s="93">
        <v>7.3220517000000002E-3</v>
      </c>
      <c r="JU32" s="90">
        <f t="shared" si="152"/>
        <v>5.2630907619600009</v>
      </c>
      <c r="JV32" s="90">
        <f t="shared" si="153"/>
        <v>5.52</v>
      </c>
      <c r="JW32" s="90">
        <f t="shared" si="534"/>
        <v>5.7932342875878602</v>
      </c>
      <c r="JX32" s="90">
        <f t="shared" si="154"/>
        <v>5.82</v>
      </c>
      <c r="JY32" s="90">
        <f t="shared" si="155"/>
        <v>6.1591114572019912</v>
      </c>
      <c r="JZ32" s="90">
        <f t="shared" si="156"/>
        <v>6.1591114572019912</v>
      </c>
      <c r="KA32" s="90">
        <v>8.3090999999999998E-3</v>
      </c>
      <c r="KB32" s="90">
        <f t="shared" si="157"/>
        <v>5.9725810800000003</v>
      </c>
      <c r="KC32" s="90" t="e">
        <f>KB32*#REF!</f>
        <v>#REF!</v>
      </c>
      <c r="KD32" s="90">
        <v>34406.519999999997</v>
      </c>
      <c r="KE32" s="90">
        <v>40292.97</v>
      </c>
      <c r="KF32" s="90"/>
      <c r="KG32" s="90">
        <f t="shared" si="546"/>
        <v>1052.2201473732305</v>
      </c>
      <c r="KH32" s="90" t="e">
        <f>KG32/(BW32+#REF!)*(CB32+#REF!)</f>
        <v>#REF!</v>
      </c>
      <c r="KI32" s="90">
        <v>0.8</v>
      </c>
      <c r="KJ32" s="94"/>
      <c r="KK32" s="90">
        <f t="shared" si="159"/>
        <v>0</v>
      </c>
      <c r="KL32" s="93">
        <v>1.2690177</v>
      </c>
      <c r="KM32" s="90">
        <f t="shared" si="160"/>
        <v>1140.21240345</v>
      </c>
      <c r="KN32" s="90">
        <f t="shared" si="161"/>
        <v>1208.6251476570001</v>
      </c>
      <c r="KO32" s="90" t="e">
        <f>BW32+CN32+DC32+DS32+EG32+EV32+FK32+GB32+#REF!+#REF!+HJ32+HX32+IQ32+JG32+JU32+KK32+KM32</f>
        <v>#REF!</v>
      </c>
      <c r="KP32" s="90"/>
      <c r="KQ32" s="90">
        <v>0.50815001599999998</v>
      </c>
      <c r="KR32" s="90">
        <f t="shared" si="514"/>
        <v>456.572789376</v>
      </c>
      <c r="KS32" s="90">
        <v>0.71072749999999996</v>
      </c>
      <c r="KT32" s="90">
        <f t="shared" si="163"/>
        <v>324.49883716123099</v>
      </c>
      <c r="KU32" s="90">
        <f t="shared" si="164"/>
        <v>490.67519400779139</v>
      </c>
      <c r="KV32" s="90">
        <f t="shared" si="165"/>
        <v>514.23</v>
      </c>
      <c r="KW32" s="90">
        <f t="shared" si="535"/>
        <v>539.6838528453452</v>
      </c>
      <c r="KX32" s="90">
        <f t="shared" si="166"/>
        <v>542.51</v>
      </c>
      <c r="KY32" s="90">
        <f t="shared" si="167"/>
        <v>573.76809504293124</v>
      </c>
      <c r="KZ32" s="90">
        <f t="shared" si="168"/>
        <v>573.76809504293124</v>
      </c>
      <c r="LA32" s="90">
        <f t="shared" si="169"/>
        <v>3522.12</v>
      </c>
      <c r="LB32" s="90">
        <f t="shared" si="170"/>
        <v>3.92</v>
      </c>
      <c r="LC32" s="92">
        <f t="shared" si="171"/>
        <v>42265.440000000002</v>
      </c>
      <c r="LD32" s="92">
        <v>4.21</v>
      </c>
      <c r="LE32" s="92">
        <v>3782.69</v>
      </c>
      <c r="LF32" s="90">
        <f t="shared" si="172"/>
        <v>4.18</v>
      </c>
      <c r="LG32" s="90">
        <f t="shared" si="173"/>
        <v>3755.73</v>
      </c>
      <c r="LH32" s="90">
        <f t="shared" si="174"/>
        <v>3786.2789999999995</v>
      </c>
      <c r="LI32" s="90">
        <f t="shared" si="175"/>
        <v>4.21</v>
      </c>
      <c r="LJ32" s="90">
        <f t="shared" si="176"/>
        <v>3755.73</v>
      </c>
      <c r="LK32" s="90">
        <f t="shared" si="177"/>
        <v>4.18</v>
      </c>
      <c r="LL32" s="90">
        <f t="shared" si="178"/>
        <v>3755.73</v>
      </c>
      <c r="LM32" s="90">
        <f t="shared" si="179"/>
        <v>4.18</v>
      </c>
      <c r="LN32" s="95">
        <v>0.46</v>
      </c>
      <c r="LO32" s="95">
        <f t="shared" si="180"/>
        <v>413.31</v>
      </c>
      <c r="LP32" s="95"/>
      <c r="LQ32" s="95">
        <f t="shared" si="181"/>
        <v>0</v>
      </c>
      <c r="LR32" s="90"/>
      <c r="LS32" s="90"/>
      <c r="LT32" s="90">
        <f t="shared" si="182"/>
        <v>0</v>
      </c>
      <c r="LU32" s="90"/>
      <c r="LV32" s="90">
        <f t="shared" si="183"/>
        <v>0</v>
      </c>
      <c r="LW32" s="90">
        <f t="shared" si="184"/>
        <v>0</v>
      </c>
      <c r="LX32" s="90"/>
      <c r="LY32" s="90"/>
      <c r="LZ32" s="90">
        <f t="shared" si="185"/>
        <v>0</v>
      </c>
      <c r="MA32" s="90"/>
      <c r="MB32" s="90">
        <f t="shared" si="186"/>
        <v>0</v>
      </c>
      <c r="MC32" s="90">
        <f t="shared" si="187"/>
        <v>0</v>
      </c>
      <c r="MD32" s="90"/>
      <c r="ME32" s="90"/>
      <c r="MF32" s="90">
        <f t="shared" si="188"/>
        <v>0</v>
      </c>
      <c r="MG32" s="90"/>
      <c r="MH32" s="90">
        <f t="shared" si="189"/>
        <v>0</v>
      </c>
      <c r="MI32" s="90">
        <f t="shared" si="190"/>
        <v>0</v>
      </c>
      <c r="MJ32" s="90"/>
      <c r="MK32" s="90"/>
      <c r="ML32" s="90">
        <f t="shared" si="191"/>
        <v>0</v>
      </c>
      <c r="MM32" s="90"/>
      <c r="MN32" s="90">
        <f t="shared" si="192"/>
        <v>0</v>
      </c>
      <c r="MO32" s="90">
        <f t="shared" si="193"/>
        <v>0</v>
      </c>
      <c r="MP32" s="90">
        <f t="shared" si="194"/>
        <v>0</v>
      </c>
      <c r="MQ32" s="90">
        <f t="shared" si="195"/>
        <v>0</v>
      </c>
      <c r="MR32" s="90">
        <f t="shared" si="196"/>
        <v>0</v>
      </c>
      <c r="MS32" s="90">
        <f t="shared" si="197"/>
        <v>0</v>
      </c>
      <c r="MT32" s="95"/>
      <c r="MU32" s="95">
        <f t="shared" si="198"/>
        <v>0</v>
      </c>
      <c r="MV32" s="92">
        <f t="shared" si="199"/>
        <v>0</v>
      </c>
      <c r="MW32" s="95"/>
      <c r="MX32" s="95">
        <f t="shared" si="200"/>
        <v>0</v>
      </c>
      <c r="MY32" s="95"/>
      <c r="MZ32" s="95">
        <f t="shared" si="201"/>
        <v>0</v>
      </c>
      <c r="NA32" s="95"/>
      <c r="NB32" s="95">
        <f t="shared" si="202"/>
        <v>0</v>
      </c>
      <c r="NC32" s="92">
        <f t="shared" si="203"/>
        <v>0</v>
      </c>
      <c r="ND32" s="95"/>
      <c r="NE32" s="95">
        <f t="shared" si="204"/>
        <v>0</v>
      </c>
      <c r="NF32" s="95"/>
      <c r="NG32" s="95">
        <f t="shared" si="205"/>
        <v>0</v>
      </c>
      <c r="NH32" s="95"/>
      <c r="NI32" s="95"/>
      <c r="NJ32" s="95">
        <f t="shared" si="206"/>
        <v>0</v>
      </c>
      <c r="NK32" s="92">
        <f t="shared" si="207"/>
        <v>0</v>
      </c>
      <c r="NL32" s="95"/>
      <c r="NM32" s="95">
        <f t="shared" si="208"/>
        <v>0</v>
      </c>
      <c r="NN32" s="95"/>
      <c r="NO32" s="95">
        <f t="shared" si="209"/>
        <v>0</v>
      </c>
      <c r="NP32" s="95"/>
      <c r="NQ32" s="95">
        <f t="shared" si="210"/>
        <v>0</v>
      </c>
      <c r="NR32" s="92">
        <f t="shared" si="211"/>
        <v>0</v>
      </c>
      <c r="NS32" s="95"/>
      <c r="NT32" s="95">
        <f t="shared" si="212"/>
        <v>0</v>
      </c>
      <c r="NU32" s="95"/>
      <c r="NV32" s="95">
        <f t="shared" si="213"/>
        <v>0</v>
      </c>
      <c r="NW32" s="95"/>
      <c r="NX32" s="95">
        <f t="shared" si="214"/>
        <v>0</v>
      </c>
      <c r="NY32" s="92">
        <f t="shared" si="215"/>
        <v>0</v>
      </c>
      <c r="NZ32" s="95"/>
      <c r="OA32" s="95">
        <f t="shared" si="216"/>
        <v>0</v>
      </c>
      <c r="OB32" s="95"/>
      <c r="OC32" s="95">
        <f t="shared" si="217"/>
        <v>0</v>
      </c>
      <c r="OD32" s="90">
        <v>5103.4799999999996</v>
      </c>
      <c r="OE32" s="90">
        <f t="shared" si="218"/>
        <v>5.68</v>
      </c>
      <c r="OF32" s="92">
        <f t="shared" si="219"/>
        <v>61241.759999999995</v>
      </c>
      <c r="OG32" s="96">
        <v>931.81</v>
      </c>
      <c r="OH32" s="96">
        <v>1.04</v>
      </c>
      <c r="OI32" s="90">
        <v>7017.29</v>
      </c>
      <c r="OJ32" s="90">
        <f t="shared" si="220"/>
        <v>7.81</v>
      </c>
      <c r="OK32" s="90">
        <f t="shared" si="221"/>
        <v>6035.2899999999991</v>
      </c>
      <c r="OL32" s="90">
        <f t="shared" si="222"/>
        <v>6.72</v>
      </c>
      <c r="OM32" s="90">
        <f t="shared" si="223"/>
        <v>1.0899999999999999</v>
      </c>
      <c r="ON32" s="90">
        <v>6082.85</v>
      </c>
      <c r="OO32" s="90">
        <f t="shared" si="224"/>
        <v>6.77</v>
      </c>
      <c r="OP32" s="90">
        <v>6085.48</v>
      </c>
      <c r="OQ32" s="90">
        <v>6.77</v>
      </c>
      <c r="OR32" s="90">
        <f t="shared" si="225"/>
        <v>0</v>
      </c>
      <c r="OS32" s="90">
        <f t="shared" si="226"/>
        <v>6.77</v>
      </c>
      <c r="OT32" s="90">
        <v>6082.85</v>
      </c>
      <c r="OU32" s="90">
        <f t="shared" si="227"/>
        <v>6.77</v>
      </c>
      <c r="OV32" s="97">
        <v>5184.3500000000004</v>
      </c>
      <c r="OW32" s="90">
        <f t="shared" si="228"/>
        <v>5184.3500000000004</v>
      </c>
      <c r="OX32" s="90">
        <f t="shared" si="229"/>
        <v>5.77</v>
      </c>
      <c r="OY32" s="90">
        <f>OU32-1</f>
        <v>5.77</v>
      </c>
      <c r="OZ32" s="90"/>
      <c r="PA32" s="90"/>
      <c r="PB32" s="95">
        <f t="shared" si="230"/>
        <v>0</v>
      </c>
      <c r="PC32" s="92">
        <f t="shared" si="231"/>
        <v>0</v>
      </c>
      <c r="PD32" s="90"/>
      <c r="PE32" s="95">
        <f t="shared" si="232"/>
        <v>0</v>
      </c>
      <c r="PF32" s="90">
        <f t="shared" si="233"/>
        <v>13340.349999999999</v>
      </c>
      <c r="PG32" s="90">
        <f t="shared" si="234"/>
        <v>14.85</v>
      </c>
      <c r="PH32" s="90">
        <f t="shared" si="235"/>
        <v>15857.81</v>
      </c>
      <c r="PI32" s="90">
        <f t="shared" si="236"/>
        <v>17.649999999999999</v>
      </c>
      <c r="PJ32" s="90">
        <f t="shared" si="237"/>
        <v>15857.81</v>
      </c>
      <c r="PK32" s="90">
        <f t="shared" si="238"/>
        <v>17.649999999999999</v>
      </c>
      <c r="PL32" s="90"/>
      <c r="PM32" s="90">
        <f t="shared" si="239"/>
        <v>400.21</v>
      </c>
      <c r="PN32" s="90">
        <f t="shared" si="240"/>
        <v>0.45</v>
      </c>
      <c r="PO32" s="92">
        <f t="shared" si="241"/>
        <v>4802.5199999999995</v>
      </c>
      <c r="PP32" s="90">
        <f t="shared" si="242"/>
        <v>475.73</v>
      </c>
      <c r="PQ32" s="90">
        <f t="shared" si="243"/>
        <v>0.53</v>
      </c>
      <c r="PR32" s="90">
        <f t="shared" si="244"/>
        <v>475.73</v>
      </c>
      <c r="PS32" s="90">
        <f t="shared" si="245"/>
        <v>0.53</v>
      </c>
      <c r="PT32" s="90">
        <f t="shared" si="246"/>
        <v>13740.559999999998</v>
      </c>
      <c r="PU32" s="90">
        <f t="shared" si="247"/>
        <v>15.29</v>
      </c>
      <c r="PV32" s="90">
        <f t="shared" si="248"/>
        <v>16333.539999999999</v>
      </c>
      <c r="PW32" s="90">
        <f t="shared" si="249"/>
        <v>18.18</v>
      </c>
      <c r="PX32" s="90">
        <f t="shared" si="250"/>
        <v>16333.539999999999</v>
      </c>
      <c r="PY32" s="90">
        <f t="shared" si="251"/>
        <v>18.18</v>
      </c>
      <c r="PZ32" s="90">
        <f t="shared" si="252"/>
        <v>138.79</v>
      </c>
      <c r="QA32" s="90">
        <f t="shared" si="253"/>
        <v>0.15</v>
      </c>
      <c r="QB32" s="92">
        <f t="shared" si="254"/>
        <v>1665.48</v>
      </c>
      <c r="QC32" s="90">
        <f t="shared" si="255"/>
        <v>164.99</v>
      </c>
      <c r="QD32" s="90">
        <f t="shared" si="256"/>
        <v>0.18</v>
      </c>
      <c r="QE32" s="90">
        <f t="shared" si="257"/>
        <v>164.99</v>
      </c>
      <c r="QF32" s="90">
        <f t="shared" si="258"/>
        <v>0.18</v>
      </c>
      <c r="QG32" s="90">
        <f t="shared" si="259"/>
        <v>13879.349999999999</v>
      </c>
      <c r="QH32" s="90">
        <f t="shared" si="260"/>
        <v>15.45</v>
      </c>
      <c r="QI32" s="92">
        <f t="shared" si="261"/>
        <v>166552.19999999998</v>
      </c>
      <c r="QJ32" s="90">
        <f t="shared" si="262"/>
        <v>555.13385284534525</v>
      </c>
      <c r="QK32" s="98">
        <f t="shared" si="263"/>
        <v>0.21869999999999998</v>
      </c>
      <c r="QL32" s="90">
        <f t="shared" si="264"/>
        <v>196.50194999999999</v>
      </c>
      <c r="QM32" s="90">
        <f t="shared" si="265"/>
        <v>0.14579999999999999</v>
      </c>
      <c r="QN32" s="90">
        <f t="shared" si="266"/>
        <v>131.00129999999999</v>
      </c>
      <c r="QO32" s="90">
        <v>0.21869999999999998</v>
      </c>
      <c r="QP32" s="90">
        <v>0.14579999999999999</v>
      </c>
      <c r="QQ32" s="97">
        <f t="shared" si="267"/>
        <v>327.50324999999998</v>
      </c>
      <c r="QR32" s="97">
        <v>326.08169999999996</v>
      </c>
      <c r="QS32" s="97">
        <f t="shared" si="268"/>
        <v>1.4215500000000247</v>
      </c>
      <c r="QT32" s="90"/>
      <c r="QU32" s="90">
        <f t="shared" si="269"/>
        <v>0.14579999999999999</v>
      </c>
      <c r="QV32" s="90">
        <f t="shared" si="270"/>
        <v>131.00129999999999</v>
      </c>
      <c r="QW32" s="90">
        <f t="shared" si="271"/>
        <v>327.50324999999998</v>
      </c>
      <c r="QX32" s="90">
        <f t="shared" si="272"/>
        <v>0.36449999999999999</v>
      </c>
      <c r="QY32" s="90"/>
      <c r="QZ32" s="90"/>
      <c r="RA32" s="90"/>
      <c r="RB32" s="90">
        <v>3329.4099999999994</v>
      </c>
      <c r="RC32" s="97">
        <f t="shared" si="273"/>
        <v>13879.349999999999</v>
      </c>
      <c r="RD32" s="97">
        <f t="shared" si="274"/>
        <v>15.45</v>
      </c>
      <c r="RE32" s="90">
        <f t="shared" si="275"/>
        <v>16498.53</v>
      </c>
      <c r="RF32" s="90">
        <f t="shared" si="276"/>
        <v>18.36</v>
      </c>
      <c r="RG32" s="90">
        <f t="shared" si="277"/>
        <v>118.83495145631069</v>
      </c>
      <c r="RH32" s="90">
        <f t="shared" si="278"/>
        <v>16498.53</v>
      </c>
      <c r="RI32" s="90">
        <f t="shared" si="279"/>
        <v>18.36</v>
      </c>
      <c r="RJ32" s="90">
        <v>18.069999999999997</v>
      </c>
      <c r="RK32" s="90">
        <v>0</v>
      </c>
      <c r="RL32" s="90">
        <f t="shared" si="280"/>
        <v>0.2900000000000027</v>
      </c>
      <c r="RM32" s="90">
        <f t="shared" si="281"/>
        <v>104.19977298524404</v>
      </c>
      <c r="RN32" s="90">
        <f t="shared" si="282"/>
        <v>8682.32</v>
      </c>
      <c r="RO32" s="90"/>
      <c r="RP32" s="90"/>
      <c r="RQ32" s="99">
        <v>576</v>
      </c>
      <c r="RR32" s="90">
        <f t="shared" si="283"/>
        <v>8775.869999999999</v>
      </c>
      <c r="RS32" s="90">
        <f t="shared" si="284"/>
        <v>9.7672454090150236</v>
      </c>
      <c r="RT32" s="90">
        <f>11.28+3.3</f>
        <v>14.579999999999998</v>
      </c>
      <c r="RU32" s="90">
        <f t="shared" si="285"/>
        <v>13100.13</v>
      </c>
      <c r="RV32" s="90">
        <f t="shared" si="286"/>
        <v>0.61784513394028406</v>
      </c>
      <c r="RW32" s="90">
        <v>10.43</v>
      </c>
      <c r="RX32" s="90">
        <f t="shared" si="287"/>
        <v>10.951499999999999</v>
      </c>
      <c r="RY32" s="90">
        <f t="shared" si="288"/>
        <v>9839.9227499999997</v>
      </c>
      <c r="RZ32" s="90">
        <f t="shared" si="289"/>
        <v>2595.9795518406236</v>
      </c>
      <c r="SA32" s="90">
        <f t="shared" si="290"/>
        <v>1161.4336773965185</v>
      </c>
      <c r="SB32" s="90">
        <f t="shared" si="291"/>
        <v>1756.205661533895</v>
      </c>
      <c r="SC32" s="90">
        <f t="shared" si="292"/>
        <v>3190.751535978</v>
      </c>
      <c r="SD32" s="90">
        <f t="shared" si="293"/>
        <v>3190.751535978</v>
      </c>
      <c r="SE32" s="90">
        <f t="shared" si="294"/>
        <v>3238.8191364668969</v>
      </c>
      <c r="SF32" s="90">
        <f t="shared" si="295"/>
        <v>3188.54619642742</v>
      </c>
      <c r="SG32" s="90">
        <f t="shared" si="296"/>
        <v>2.2053395505799926</v>
      </c>
      <c r="SH32" s="90">
        <f t="shared" si="297"/>
        <v>3189.6775961918179</v>
      </c>
      <c r="SI32" s="90">
        <f t="shared" si="298"/>
        <v>3.5511981480000001</v>
      </c>
      <c r="SJ32" s="90">
        <f t="shared" si="299"/>
        <v>3.5487436799414804</v>
      </c>
      <c r="SK32" s="90"/>
      <c r="SL32" s="90"/>
      <c r="SM32" s="90"/>
      <c r="SN32" s="90">
        <f t="shared" si="300"/>
        <v>3416.0300000000007</v>
      </c>
      <c r="SO32" s="90" t="e">
        <f>RU32-#REF!-#REF!-HZ32-LT32-LZ32-MF32-ML32-QL32-QN32-SD32</f>
        <v>#REF!</v>
      </c>
      <c r="SP32" s="90">
        <f t="shared" si="301"/>
        <v>3343.91</v>
      </c>
      <c r="SQ32" s="90">
        <f t="shared" si="302"/>
        <v>3522.12</v>
      </c>
      <c r="SR32" s="90">
        <f t="shared" si="303"/>
        <v>3.7216583194212576</v>
      </c>
      <c r="SS32" s="90">
        <f t="shared" si="304"/>
        <v>3.92</v>
      </c>
      <c r="ST32" s="90">
        <f t="shared" si="305"/>
        <v>3535.5349999999999</v>
      </c>
      <c r="SU32" s="90">
        <v>3.7216744913928004</v>
      </c>
      <c r="SV32" s="90">
        <f t="shared" si="306"/>
        <v>3.93</v>
      </c>
      <c r="SW32" s="90">
        <v>3.92</v>
      </c>
      <c r="SX32" s="90">
        <f t="shared" si="307"/>
        <v>3522.12</v>
      </c>
      <c r="SY32" s="90">
        <v>3.7216744913928004</v>
      </c>
      <c r="SZ32" s="90">
        <f t="shared" si="308"/>
        <v>3343.9245305164313</v>
      </c>
      <c r="TA32" s="90">
        <f t="shared" si="309"/>
        <v>1.4530516431477736E-2</v>
      </c>
      <c r="TB32" s="90">
        <v>0</v>
      </c>
      <c r="TC32" s="90">
        <f t="shared" si="310"/>
        <v>5187.0817499999994</v>
      </c>
      <c r="TD32" s="90" t="e">
        <f>#REF!+#REF!</f>
        <v>#REF!</v>
      </c>
      <c r="TE32" s="90" t="e">
        <f t="shared" si="311"/>
        <v>#REF!</v>
      </c>
      <c r="TF32" s="90">
        <v>5076.196299999996</v>
      </c>
      <c r="TG32" s="90">
        <f t="shared" si="312"/>
        <v>39.595650959188958</v>
      </c>
      <c r="TH32" s="95"/>
      <c r="TI32" s="95"/>
      <c r="TJ32" s="95"/>
      <c r="TK32" s="95"/>
      <c r="TL32" s="95"/>
      <c r="TM32" s="95">
        <f t="shared" si="313"/>
        <v>0</v>
      </c>
      <c r="TN32" s="95">
        <f t="shared" si="314"/>
        <v>13100.13</v>
      </c>
      <c r="TO32" s="95">
        <f t="shared" si="315"/>
        <v>39.595650959188958</v>
      </c>
      <c r="TP32" s="95"/>
      <c r="TQ32" s="95">
        <f t="shared" si="316"/>
        <v>14.579999999999998</v>
      </c>
      <c r="TR32" s="95"/>
      <c r="TS32" s="95"/>
      <c r="TT32" s="95"/>
      <c r="TU32" s="95"/>
      <c r="TV32" s="95"/>
      <c r="TW32" s="95"/>
      <c r="TX32" s="95"/>
      <c r="TY32" s="95"/>
      <c r="TZ32" s="95">
        <f t="shared" si="317"/>
        <v>2.5</v>
      </c>
      <c r="UA32" s="95">
        <f t="shared" si="318"/>
        <v>0.64151999999999998</v>
      </c>
      <c r="UB32" s="90">
        <v>0</v>
      </c>
      <c r="UC32" s="90">
        <f t="shared" si="319"/>
        <v>0</v>
      </c>
      <c r="UD32" s="90">
        <f t="shared" si="320"/>
        <v>0</v>
      </c>
      <c r="UE32" s="90">
        <f t="shared" si="321"/>
        <v>0</v>
      </c>
      <c r="UF32" s="90">
        <f t="shared" si="322"/>
        <v>13100.13</v>
      </c>
      <c r="UG32" s="91">
        <f t="shared" si="323"/>
        <v>0</v>
      </c>
      <c r="UH32" s="95">
        <f t="shared" si="324"/>
        <v>39.595650959188958</v>
      </c>
      <c r="UI32" s="95">
        <f t="shared" si="325"/>
        <v>13100.13</v>
      </c>
      <c r="UJ32" s="101">
        <f t="shared" si="326"/>
        <v>0</v>
      </c>
      <c r="UK32" s="101">
        <f t="shared" si="327"/>
        <v>39.595650959188958</v>
      </c>
      <c r="UL32" s="90" t="e">
        <f>(#REF!+#REF!+HZ32+LT32+LZ32+MF32+ML32+QL32+QN32+SN32+TC32+TM32+UC32)/I32</f>
        <v>#REF!</v>
      </c>
      <c r="UN32" s="90" t="e">
        <f>#REF!/I32</f>
        <v>#REF!</v>
      </c>
      <c r="UO32" s="90" t="e">
        <f>#REF!/I32</f>
        <v>#REF!</v>
      </c>
      <c r="UP32" s="90">
        <v>1.1499999999999999</v>
      </c>
      <c r="UQ32" s="90" t="e">
        <f t="shared" si="328"/>
        <v>#REF!</v>
      </c>
      <c r="UR32" s="90">
        <f t="shared" si="329"/>
        <v>8775.869999999999</v>
      </c>
      <c r="US32" s="90">
        <f t="shared" si="330"/>
        <v>10616.25</v>
      </c>
      <c r="UT32" s="90">
        <f t="shared" si="331"/>
        <v>10616.25</v>
      </c>
      <c r="UU32" s="90">
        <f t="shared" si="516"/>
        <v>11029.56</v>
      </c>
      <c r="UV32" s="90">
        <f t="shared" si="333"/>
        <v>10900.869999999999</v>
      </c>
      <c r="UW32" s="90">
        <f t="shared" si="334"/>
        <v>5.53</v>
      </c>
      <c r="UX32" s="90">
        <f t="shared" si="335"/>
        <v>3.92</v>
      </c>
      <c r="UY32" s="90">
        <f t="shared" si="336"/>
        <v>3.8019254312743467</v>
      </c>
      <c r="UZ32" s="100">
        <f t="shared" si="337"/>
        <v>3.5511981480000001</v>
      </c>
      <c r="VA32" s="90">
        <f t="shared" si="338"/>
        <v>0.56999999999999995</v>
      </c>
      <c r="VB32" s="90">
        <f t="shared" si="339"/>
        <v>1.04</v>
      </c>
      <c r="VC32" s="90">
        <f t="shared" si="340"/>
        <v>0</v>
      </c>
      <c r="VD32" s="90">
        <f t="shared" si="341"/>
        <v>0</v>
      </c>
      <c r="VE32" s="90">
        <f t="shared" si="342"/>
        <v>0</v>
      </c>
      <c r="VF32" s="90">
        <f t="shared" si="343"/>
        <v>0</v>
      </c>
      <c r="VG32" s="90">
        <f t="shared" si="344"/>
        <v>0</v>
      </c>
      <c r="VH32" s="90">
        <f t="shared" si="345"/>
        <v>0</v>
      </c>
      <c r="VI32" s="90">
        <f t="shared" si="346"/>
        <v>0</v>
      </c>
      <c r="VJ32" s="90">
        <f t="shared" si="347"/>
        <v>0</v>
      </c>
      <c r="VK32" s="90">
        <f t="shared" si="348"/>
        <v>0.83</v>
      </c>
      <c r="VL32" s="90">
        <f t="shared" si="349"/>
        <v>3.64</v>
      </c>
      <c r="VM32" s="90">
        <f t="shared" si="350"/>
        <v>5.68</v>
      </c>
      <c r="VN32" s="90">
        <f t="shared" si="351"/>
        <v>0</v>
      </c>
      <c r="VO32" s="90">
        <f t="shared" si="352"/>
        <v>5.68</v>
      </c>
      <c r="VP32" s="97">
        <v>0</v>
      </c>
      <c r="VQ32" s="97">
        <v>5.68</v>
      </c>
      <c r="VR32" s="90">
        <f t="shared" si="353"/>
        <v>0.45</v>
      </c>
      <c r="VS32" s="90">
        <f t="shared" si="354"/>
        <v>0.15</v>
      </c>
      <c r="VT32" s="90">
        <v>0.11989898989898991</v>
      </c>
      <c r="VU32" s="90">
        <f t="shared" si="355"/>
        <v>0.1545</v>
      </c>
      <c r="VV32" s="90">
        <v>0.38175323599898991</v>
      </c>
      <c r="VW32" s="90">
        <f t="shared" si="356"/>
        <v>0.6</v>
      </c>
      <c r="VX32" s="90">
        <f t="shared" si="357"/>
        <v>15.45</v>
      </c>
      <c r="VY32" s="90">
        <f t="shared" si="358"/>
        <v>15.45</v>
      </c>
      <c r="VZ32" s="90">
        <f t="shared" si="359"/>
        <v>0</v>
      </c>
      <c r="WA32" s="90"/>
      <c r="WB32" s="90">
        <f t="shared" si="360"/>
        <v>15.45</v>
      </c>
      <c r="WC32" s="90">
        <f t="shared" si="361"/>
        <v>0</v>
      </c>
      <c r="WD32" s="90"/>
      <c r="WE32" s="90">
        <v>15.45</v>
      </c>
      <c r="WF32" s="90"/>
      <c r="WG32" s="90">
        <f t="shared" si="362"/>
        <v>13881.824999999999</v>
      </c>
      <c r="WH32" s="90">
        <f t="shared" si="363"/>
        <v>13881.824999999999</v>
      </c>
      <c r="WI32" s="90">
        <f t="shared" si="364"/>
        <v>13879.349999999999</v>
      </c>
      <c r="WJ32" s="90">
        <f t="shared" si="365"/>
        <v>8775.869999999999</v>
      </c>
      <c r="WK32" s="97">
        <v>5081.33</v>
      </c>
      <c r="WL32" s="97">
        <v>5.68</v>
      </c>
      <c r="WM32" s="90">
        <f t="shared" si="366"/>
        <v>5103.4799999999996</v>
      </c>
      <c r="WN32" s="90">
        <f t="shared" si="367"/>
        <v>5.68</v>
      </c>
      <c r="WO32" s="90"/>
      <c r="WP32" s="97">
        <v>15.45</v>
      </c>
      <c r="WQ32" s="90">
        <f t="shared" si="368"/>
        <v>15.45</v>
      </c>
      <c r="WR32" s="91">
        <f t="shared" si="369"/>
        <v>105.96707818930042</v>
      </c>
      <c r="WS32" s="91">
        <f t="shared" si="370"/>
        <v>136.968085106383</v>
      </c>
      <c r="WT32" s="90">
        <f t="shared" si="371"/>
        <v>13881.83</v>
      </c>
      <c r="WU32" s="90">
        <f t="shared" si="372"/>
        <v>13879.349999999999</v>
      </c>
      <c r="WV32" s="90">
        <f t="shared" si="373"/>
        <v>2.4800000000013824</v>
      </c>
      <c r="WW32" s="90">
        <v>3.3</v>
      </c>
      <c r="WX32" s="90"/>
      <c r="WY32" s="90"/>
      <c r="WZ32" s="90">
        <f t="shared" si="374"/>
        <v>5.6220434343434329</v>
      </c>
      <c r="XA32" s="90">
        <v>0</v>
      </c>
      <c r="XB32" s="90">
        <f t="shared" si="375"/>
        <v>5.6220434343434329</v>
      </c>
      <c r="XC32" s="90">
        <f t="shared" si="376"/>
        <v>0.46229999999999999</v>
      </c>
      <c r="XD32" s="90">
        <f t="shared" si="377"/>
        <v>0.15565656565656566</v>
      </c>
      <c r="XE32" s="90"/>
      <c r="XF32" s="90">
        <f t="shared" si="378"/>
        <v>15.41</v>
      </c>
      <c r="XG32" s="90">
        <v>5.6742636932707304</v>
      </c>
      <c r="XH32" s="20">
        <v>14.579999999999998</v>
      </c>
      <c r="XI32" s="20">
        <v>0</v>
      </c>
      <c r="XJ32" s="20"/>
      <c r="XK32" s="20"/>
      <c r="XL32" s="20"/>
      <c r="XM32" s="20">
        <f t="shared" si="379"/>
        <v>14.579999999999998</v>
      </c>
      <c r="XN32" s="91">
        <f t="shared" si="380"/>
        <v>105.96707818930042</v>
      </c>
      <c r="XO32" s="20">
        <f t="shared" si="381"/>
        <v>14.579999999999998</v>
      </c>
      <c r="XP32" s="90">
        <f t="shared" si="382"/>
        <v>11.279999999999998</v>
      </c>
      <c r="XQ32" s="91">
        <f t="shared" si="383"/>
        <v>105.96707818930042</v>
      </c>
      <c r="XR32" s="102"/>
      <c r="XS32" s="90">
        <f t="shared" si="384"/>
        <v>3.64</v>
      </c>
      <c r="XT32" s="90">
        <f t="shared" si="385"/>
        <v>5.53</v>
      </c>
      <c r="XU32" s="90">
        <f t="shared" si="386"/>
        <v>3.92</v>
      </c>
      <c r="XV32" s="90">
        <f t="shared" si="387"/>
        <v>0.56999999999999995</v>
      </c>
      <c r="XW32" s="90">
        <f t="shared" si="388"/>
        <v>0.56999999999999995</v>
      </c>
      <c r="XX32" s="90">
        <f t="shared" si="389"/>
        <v>0</v>
      </c>
      <c r="XY32" s="90">
        <f t="shared" si="390"/>
        <v>1.04</v>
      </c>
      <c r="XZ32" s="90">
        <f t="shared" si="391"/>
        <v>0</v>
      </c>
      <c r="YA32" s="90">
        <f t="shared" si="392"/>
        <v>0</v>
      </c>
      <c r="YB32" s="90">
        <f t="shared" si="537"/>
        <v>0</v>
      </c>
      <c r="YC32" s="90">
        <f t="shared" si="537"/>
        <v>0</v>
      </c>
      <c r="YD32" s="90">
        <f t="shared" si="394"/>
        <v>1.04</v>
      </c>
      <c r="YE32" s="90">
        <f t="shared" si="395"/>
        <v>5.68</v>
      </c>
      <c r="YF32" s="90">
        <f t="shared" si="396"/>
        <v>0.6</v>
      </c>
      <c r="YG32" s="90">
        <f t="shared" si="397"/>
        <v>15.45</v>
      </c>
      <c r="YI32" s="103" t="s">
        <v>505</v>
      </c>
      <c r="YK32" s="90">
        <f t="shared" si="398"/>
        <v>1.07</v>
      </c>
      <c r="YL32" s="90">
        <f t="shared" si="538"/>
        <v>0.56999999999999995</v>
      </c>
      <c r="YM32" s="90">
        <f t="shared" si="538"/>
        <v>1.04</v>
      </c>
      <c r="YN32" s="90">
        <f t="shared" si="400"/>
        <v>3.64</v>
      </c>
      <c r="YO32" s="90">
        <f t="shared" si="401"/>
        <v>9.129999999999999</v>
      </c>
      <c r="YP32" s="90">
        <f t="shared" si="402"/>
        <v>0</v>
      </c>
      <c r="YQ32" s="90">
        <f t="shared" si="403"/>
        <v>15.45</v>
      </c>
      <c r="YR32" s="90">
        <f t="shared" si="404"/>
        <v>0</v>
      </c>
      <c r="YS32" s="104">
        <f t="shared" si="405"/>
        <v>15.45</v>
      </c>
      <c r="YT32" s="104">
        <f t="shared" si="406"/>
        <v>0</v>
      </c>
      <c r="YY32" s="90">
        <f t="shared" si="407"/>
        <v>7</v>
      </c>
      <c r="YZ32" s="90">
        <f t="shared" si="408"/>
        <v>4.18</v>
      </c>
      <c r="ZA32" s="90">
        <f t="shared" si="409"/>
        <v>0.61</v>
      </c>
      <c r="ZB32" s="90">
        <f t="shared" si="410"/>
        <v>2.21</v>
      </c>
      <c r="ZC32" s="90">
        <f t="shared" si="411"/>
        <v>0</v>
      </c>
      <c r="ZD32" s="90">
        <f t="shared" si="412"/>
        <v>0</v>
      </c>
      <c r="ZE32" s="90">
        <f t="shared" si="413"/>
        <v>0</v>
      </c>
      <c r="ZF32" s="90">
        <f t="shared" si="414"/>
        <v>0</v>
      </c>
      <c r="ZG32" s="90">
        <f t="shared" si="415"/>
        <v>0</v>
      </c>
      <c r="ZH32" s="90">
        <f t="shared" si="416"/>
        <v>0</v>
      </c>
      <c r="ZI32" s="90">
        <f t="shared" si="417"/>
        <v>0</v>
      </c>
      <c r="ZJ32" s="90">
        <f t="shared" si="418"/>
        <v>0</v>
      </c>
      <c r="ZK32" s="90">
        <f t="shared" si="419"/>
        <v>0</v>
      </c>
      <c r="ZL32" s="90">
        <f t="shared" si="420"/>
        <v>0.01</v>
      </c>
      <c r="ZM32" s="90">
        <f t="shared" si="421"/>
        <v>4.1100000000000003</v>
      </c>
      <c r="ZN32" s="90">
        <f t="shared" si="422"/>
        <v>7.9799999999999995</v>
      </c>
      <c r="ZO32" s="90">
        <f t="shared" si="423"/>
        <v>6.72</v>
      </c>
      <c r="ZP32" s="90">
        <f t="shared" si="424"/>
        <v>5.77</v>
      </c>
      <c r="ZQ32" s="90">
        <f t="shared" si="425"/>
        <v>0</v>
      </c>
      <c r="ZR32" s="90">
        <f t="shared" si="426"/>
        <v>5.77</v>
      </c>
      <c r="ZS32" s="97">
        <v>227</v>
      </c>
      <c r="ZT32" s="97">
        <v>230.38</v>
      </c>
      <c r="ZU32" s="90">
        <f t="shared" si="427"/>
        <v>0.53</v>
      </c>
      <c r="ZV32" s="90">
        <f t="shared" si="428"/>
        <v>0.18</v>
      </c>
      <c r="ZW32" s="90">
        <v>0.11989898989898991</v>
      </c>
      <c r="ZX32" s="90">
        <f t="shared" si="429"/>
        <v>0.1759</v>
      </c>
      <c r="ZY32" s="90">
        <v>0.38175323599898991</v>
      </c>
      <c r="ZZ32" s="90">
        <f t="shared" si="430"/>
        <v>0.71</v>
      </c>
      <c r="AAA32" s="90">
        <f t="shared" si="431"/>
        <v>17.59</v>
      </c>
      <c r="AAB32" s="90">
        <f t="shared" si="432"/>
        <v>17.59</v>
      </c>
      <c r="AAC32" s="90">
        <f t="shared" si="433"/>
        <v>0</v>
      </c>
      <c r="AAD32" s="90"/>
      <c r="AAE32" s="90">
        <f t="shared" si="434"/>
        <v>17.59</v>
      </c>
      <c r="AAF32" s="90">
        <v>15.45</v>
      </c>
      <c r="AAG32" s="90">
        <f t="shared" si="435"/>
        <v>113.85113268608416</v>
      </c>
      <c r="AAH32" s="90">
        <f t="shared" si="436"/>
        <v>0</v>
      </c>
      <c r="AAI32" s="90">
        <v>0</v>
      </c>
      <c r="AAJ32" s="90"/>
      <c r="AAK32" s="1">
        <v>17.61</v>
      </c>
      <c r="AAL32" s="104">
        <f t="shared" si="437"/>
        <v>-1.9999999999999574E-2</v>
      </c>
      <c r="AAM32" s="103" t="s">
        <v>506</v>
      </c>
      <c r="AAN32" s="105">
        <v>7.25</v>
      </c>
      <c r="AAO32" s="90">
        <f t="shared" si="438"/>
        <v>7.77</v>
      </c>
      <c r="AAP32" s="90">
        <v>4.21</v>
      </c>
      <c r="AAQ32" s="90">
        <f t="shared" si="439"/>
        <v>4.18</v>
      </c>
      <c r="AAR32" s="90">
        <v>0.61</v>
      </c>
      <c r="AAS32" s="90">
        <f t="shared" si="440"/>
        <v>0.92</v>
      </c>
      <c r="AAT32" s="90">
        <f t="shared" si="441"/>
        <v>150.81967213114754</v>
      </c>
      <c r="AAU32" s="90">
        <v>2.4300000000000002</v>
      </c>
      <c r="AAV32" s="90">
        <f t="shared" si="442"/>
        <v>2.21</v>
      </c>
      <c r="AAW32" s="90">
        <f t="shared" si="443"/>
        <v>90.946502057613159</v>
      </c>
      <c r="AAX32" s="90">
        <f t="shared" si="444"/>
        <v>0.46</v>
      </c>
      <c r="AAY32" s="90">
        <f t="shared" si="445"/>
        <v>0</v>
      </c>
      <c r="AAZ32" s="90">
        <f t="shared" si="446"/>
        <v>0</v>
      </c>
      <c r="ABA32" s="90">
        <f t="shared" si="447"/>
        <v>0</v>
      </c>
      <c r="ABB32" s="90">
        <f t="shared" si="448"/>
        <v>0</v>
      </c>
      <c r="ABC32" s="90">
        <v>0</v>
      </c>
      <c r="ABD32" s="90">
        <f t="shared" si="449"/>
        <v>0</v>
      </c>
      <c r="ABE32" s="90"/>
      <c r="ABF32" s="90">
        <v>0</v>
      </c>
      <c r="ABG32" s="90">
        <f t="shared" si="450"/>
        <v>0</v>
      </c>
      <c r="ABH32" s="90"/>
      <c r="ABI32" s="90">
        <f t="shared" si="451"/>
        <v>0</v>
      </c>
      <c r="ABJ32" s="90">
        <f t="shared" si="452"/>
        <v>0</v>
      </c>
      <c r="ABK32" s="90">
        <v>0</v>
      </c>
      <c r="ABL32" s="90">
        <f t="shared" si="453"/>
        <v>0</v>
      </c>
      <c r="ABM32" s="90">
        <f t="shared" si="454"/>
        <v>0</v>
      </c>
      <c r="ABN32" s="90">
        <f t="shared" si="455"/>
        <v>0.02</v>
      </c>
      <c r="ABO32" s="90">
        <v>3.91</v>
      </c>
      <c r="ABP32" s="90">
        <f t="shared" si="456"/>
        <v>4.1100000000000003</v>
      </c>
      <c r="ABQ32" s="90">
        <f t="shared" si="457"/>
        <v>105.1150895140665</v>
      </c>
      <c r="ABR32" s="90">
        <f t="shared" si="458"/>
        <v>7.9799999999999995</v>
      </c>
      <c r="ABS32" s="90">
        <f t="shared" si="459"/>
        <v>6.72</v>
      </c>
      <c r="ABT32" s="90">
        <v>5.77</v>
      </c>
      <c r="ABU32" s="90">
        <f t="shared" si="460"/>
        <v>5.77</v>
      </c>
      <c r="ABV32" s="90">
        <f t="shared" si="461"/>
        <v>100</v>
      </c>
      <c r="ABW32" s="90">
        <f t="shared" si="462"/>
        <v>0</v>
      </c>
      <c r="ABX32" s="90">
        <f t="shared" si="463"/>
        <v>5.77</v>
      </c>
      <c r="ABY32" s="97">
        <v>227</v>
      </c>
      <c r="ABZ32" s="97">
        <v>230.38</v>
      </c>
      <c r="ACA32" s="90">
        <f t="shared" si="464"/>
        <v>0.53</v>
      </c>
      <c r="ACB32" s="90">
        <f t="shared" si="465"/>
        <v>0.18</v>
      </c>
      <c r="ACC32" s="90">
        <v>0.11989898989898991</v>
      </c>
      <c r="ACD32" s="90">
        <f t="shared" si="466"/>
        <v>0.17899999999999999</v>
      </c>
      <c r="ACE32" s="90">
        <v>0.38175323599898991</v>
      </c>
      <c r="ACF32" s="90">
        <v>0.69</v>
      </c>
      <c r="ACG32" s="90">
        <f t="shared" si="467"/>
        <v>0.71</v>
      </c>
      <c r="ACH32" s="90">
        <f t="shared" si="468"/>
        <v>102.89855072463769</v>
      </c>
      <c r="ACI32" s="90">
        <f t="shared" si="469"/>
        <v>18.36</v>
      </c>
      <c r="ACJ32" s="90">
        <f t="shared" si="470"/>
        <v>17.899999999999999</v>
      </c>
      <c r="ACK32" s="90">
        <f t="shared" si="471"/>
        <v>-0.46000000000000085</v>
      </c>
      <c r="ACL32" s="90"/>
      <c r="ACM32" s="90">
        <f t="shared" si="472"/>
        <v>18.36</v>
      </c>
      <c r="ACN32" s="90">
        <f t="shared" si="473"/>
        <v>0</v>
      </c>
      <c r="ACO32" s="90">
        <f t="shared" si="474"/>
        <v>18.36</v>
      </c>
      <c r="ACP32" s="90">
        <v>17.62</v>
      </c>
      <c r="ACQ32" s="90">
        <f t="shared" si="475"/>
        <v>104.19977298524404</v>
      </c>
      <c r="ACR32" s="90">
        <f t="shared" si="476"/>
        <v>0</v>
      </c>
      <c r="ACS32" s="90">
        <v>0</v>
      </c>
      <c r="ACT32" s="90"/>
      <c r="ACU32" s="90">
        <f t="shared" si="477"/>
        <v>18.518619999999999</v>
      </c>
      <c r="ACV32" s="90">
        <f t="shared" si="478"/>
        <v>0.1586199999999991</v>
      </c>
      <c r="ACX32" s="106" t="s">
        <v>507</v>
      </c>
      <c r="ACY32" s="107">
        <v>65000</v>
      </c>
      <c r="ACZ32" s="107">
        <v>65000</v>
      </c>
      <c r="ADB32" s="90">
        <f t="shared" si="479"/>
        <v>4.1100000000000003</v>
      </c>
      <c r="ADC32" s="90">
        <f t="shared" si="480"/>
        <v>7.77</v>
      </c>
      <c r="ADD32" s="90">
        <f t="shared" si="481"/>
        <v>4.18</v>
      </c>
      <c r="ADE32" s="90">
        <f t="shared" si="517"/>
        <v>1.3800000000000001</v>
      </c>
      <c r="ADF32" s="90">
        <f t="shared" si="483"/>
        <v>0.92</v>
      </c>
      <c r="ADG32" s="90">
        <f t="shared" si="539"/>
        <v>0.46</v>
      </c>
      <c r="ADH32" s="90">
        <f t="shared" si="539"/>
        <v>0</v>
      </c>
      <c r="ADI32" s="90">
        <f t="shared" si="539"/>
        <v>0</v>
      </c>
      <c r="ADJ32" s="90">
        <f t="shared" si="485"/>
        <v>2.21</v>
      </c>
      <c r="ADK32" s="90">
        <f t="shared" si="486"/>
        <v>0</v>
      </c>
      <c r="ADL32" s="90">
        <f t="shared" si="487"/>
        <v>0</v>
      </c>
      <c r="ADM32" s="90">
        <f t="shared" si="540"/>
        <v>0</v>
      </c>
      <c r="ADN32" s="90">
        <f t="shared" si="540"/>
        <v>0</v>
      </c>
      <c r="ADO32" s="90">
        <f t="shared" si="489"/>
        <v>2.21</v>
      </c>
      <c r="ADP32" s="90">
        <f t="shared" si="490"/>
        <v>5.77</v>
      </c>
      <c r="ADQ32" s="90">
        <f t="shared" si="491"/>
        <v>0.71</v>
      </c>
      <c r="ADR32" s="90">
        <f t="shared" si="492"/>
        <v>18.36</v>
      </c>
      <c r="ADU32" s="90">
        <f t="shared" si="493"/>
        <v>1.1499999999999999</v>
      </c>
      <c r="ADV32" s="90">
        <f t="shared" si="494"/>
        <v>0.92</v>
      </c>
      <c r="ADW32" s="90">
        <f t="shared" si="495"/>
        <v>2.21</v>
      </c>
      <c r="ADX32" s="90">
        <f t="shared" si="496"/>
        <v>4.1100000000000003</v>
      </c>
      <c r="ADY32" s="90">
        <f t="shared" si="497"/>
        <v>9.509999999999998</v>
      </c>
      <c r="ADZ32" s="90">
        <f t="shared" si="498"/>
        <v>0</v>
      </c>
      <c r="AEA32" s="90">
        <f t="shared" si="499"/>
        <v>18.36</v>
      </c>
      <c r="AEB32" s="90">
        <f t="shared" si="500"/>
        <v>0</v>
      </c>
      <c r="AEC32" s="104">
        <f t="shared" si="501"/>
        <v>17.899999999999999</v>
      </c>
      <c r="AED32" s="104">
        <f t="shared" si="502"/>
        <v>0.46000000000000085</v>
      </c>
      <c r="AEG32" s="1">
        <v>7.25</v>
      </c>
      <c r="AEH32" s="1">
        <v>4.21</v>
      </c>
      <c r="AEI32" s="1">
        <v>0.61</v>
      </c>
      <c r="AEJ32" s="1">
        <v>2.4300000000000002</v>
      </c>
      <c r="AEK32" s="1">
        <v>0</v>
      </c>
      <c r="AEL32" s="1">
        <v>0</v>
      </c>
      <c r="AEM32" s="1">
        <v>0</v>
      </c>
      <c r="AEN32" s="1">
        <v>0</v>
      </c>
      <c r="AEO32" s="1">
        <v>0</v>
      </c>
      <c r="AEP32" s="1">
        <v>0</v>
      </c>
      <c r="AEQ32" s="1">
        <v>0</v>
      </c>
      <c r="AER32" s="1">
        <v>0</v>
      </c>
      <c r="AES32" s="1">
        <v>0</v>
      </c>
      <c r="AET32" s="1">
        <v>0</v>
      </c>
      <c r="AEU32" s="1">
        <v>0</v>
      </c>
      <c r="AEV32" s="1">
        <v>0.02</v>
      </c>
      <c r="AEW32" s="1">
        <v>3.91</v>
      </c>
      <c r="AEX32" s="1">
        <v>8.1999999999999993</v>
      </c>
      <c r="AEY32" s="1">
        <v>6.72</v>
      </c>
      <c r="AEZ32" s="1">
        <v>5.77</v>
      </c>
      <c r="AFA32" s="1">
        <v>0</v>
      </c>
      <c r="AFB32" s="1">
        <v>5.77</v>
      </c>
      <c r="AFC32" s="1">
        <v>227</v>
      </c>
      <c r="AFD32" s="1">
        <v>230.38</v>
      </c>
      <c r="AFE32" s="1">
        <v>0.51</v>
      </c>
      <c r="AFF32" s="1">
        <v>0.18</v>
      </c>
      <c r="AFG32" s="1">
        <v>0.11989898989898991</v>
      </c>
      <c r="AFH32" s="1">
        <v>0.17620000000000002</v>
      </c>
      <c r="AFI32" s="1">
        <v>0.38175323599898991</v>
      </c>
      <c r="AFJ32" s="1">
        <v>0.69</v>
      </c>
      <c r="AFK32" s="1">
        <v>17.62</v>
      </c>
      <c r="AFL32" s="1">
        <v>17.62</v>
      </c>
      <c r="AFM32" s="1">
        <v>0</v>
      </c>
      <c r="AFO32" s="1">
        <v>17.62</v>
      </c>
      <c r="AFP32" s="1">
        <v>0</v>
      </c>
      <c r="AFQ32" s="1">
        <v>17.61</v>
      </c>
      <c r="AFX32" s="1">
        <v>18.07</v>
      </c>
    </row>
    <row r="33" spans="1:856" s="1" customFormat="1" ht="63.75" customHeight="1">
      <c r="A33" s="88">
        <v>25</v>
      </c>
      <c r="B33" s="20"/>
      <c r="C33" s="89" t="s">
        <v>508</v>
      </c>
      <c r="D33" s="20"/>
      <c r="E33" s="20" t="s">
        <v>437</v>
      </c>
      <c r="F33" s="20" t="s">
        <v>438</v>
      </c>
      <c r="G33" s="20">
        <v>0.8</v>
      </c>
      <c r="H33" s="20">
        <v>752.2</v>
      </c>
      <c r="I33" s="20">
        <f>752.2+0.2-0.1</f>
        <v>752.30000000000007</v>
      </c>
      <c r="J33" s="20">
        <f t="shared" si="0"/>
        <v>601.84</v>
      </c>
      <c r="K33" s="20">
        <v>16</v>
      </c>
      <c r="L33" s="20"/>
      <c r="M33" s="20"/>
      <c r="N33" s="20"/>
      <c r="O33" s="90">
        <f t="shared" si="1"/>
        <v>0</v>
      </c>
      <c r="P33" s="20"/>
      <c r="Q33" s="20"/>
      <c r="R33" s="90">
        <f t="shared" si="2"/>
        <v>0</v>
      </c>
      <c r="S33" s="20">
        <v>61.3</v>
      </c>
      <c r="T33" s="20">
        <v>2.6</v>
      </c>
      <c r="U33" s="20">
        <v>3.13</v>
      </c>
      <c r="V33" s="91">
        <f t="shared" si="3"/>
        <v>498.86</v>
      </c>
      <c r="W33" s="20">
        <v>2.1000000000000001E-2</v>
      </c>
      <c r="X33" s="20">
        <f t="shared" si="4"/>
        <v>33.42</v>
      </c>
      <c r="Y33" s="91">
        <f t="shared" si="5"/>
        <v>43.02</v>
      </c>
      <c r="Z33" s="20"/>
      <c r="AA33" s="20"/>
      <c r="AB33" s="20"/>
      <c r="AC33" s="91">
        <f t="shared" si="6"/>
        <v>541.88</v>
      </c>
      <c r="AD33" s="90">
        <f t="shared" si="7"/>
        <v>0.72</v>
      </c>
      <c r="AE33" s="92">
        <f t="shared" si="8"/>
        <v>6502.5599999999995</v>
      </c>
      <c r="AF33" s="20">
        <v>37</v>
      </c>
      <c r="AG33" s="20">
        <v>32</v>
      </c>
      <c r="AH33" s="20">
        <v>32</v>
      </c>
      <c r="AI33" s="20">
        <v>26</v>
      </c>
      <c r="AJ33" s="20">
        <v>1.6</v>
      </c>
      <c r="AK33" s="90">
        <f t="shared" si="9"/>
        <v>4.2699999999999996</v>
      </c>
      <c r="AL33" s="90">
        <v>391.01</v>
      </c>
      <c r="AM33" s="90">
        <f t="shared" si="10"/>
        <v>1669.61</v>
      </c>
      <c r="AN33" s="20">
        <v>37</v>
      </c>
      <c r="AO33" s="20">
        <v>32</v>
      </c>
      <c r="AP33" s="20">
        <v>37</v>
      </c>
      <c r="AQ33" s="20">
        <v>37</v>
      </c>
      <c r="AR33" s="20">
        <v>32</v>
      </c>
      <c r="AS33" s="20">
        <v>34</v>
      </c>
      <c r="AT33" s="20">
        <f t="shared" si="11"/>
        <v>5</v>
      </c>
      <c r="AU33" s="20">
        <v>1.6</v>
      </c>
      <c r="AV33" s="90">
        <f t="shared" si="12"/>
        <v>4.93</v>
      </c>
      <c r="AW33" s="90">
        <f>ROUND((179.74*6+181.82*6)/12,2)</f>
        <v>180.78</v>
      </c>
      <c r="AX33" s="90">
        <v>819.54</v>
      </c>
      <c r="AY33" s="90">
        <f t="shared" si="14"/>
        <v>1.0900000000000001</v>
      </c>
      <c r="AZ33" s="90">
        <f t="shared" si="15"/>
        <v>1928.98</v>
      </c>
      <c r="BA33" s="90">
        <f t="shared" si="16"/>
        <v>-1109.44</v>
      </c>
      <c r="BB33" s="90">
        <v>819.54</v>
      </c>
      <c r="BC33" s="90">
        <v>1.0900000000000001</v>
      </c>
      <c r="BD33" s="92">
        <f t="shared" si="17"/>
        <v>9834.48</v>
      </c>
      <c r="BE33" s="90"/>
      <c r="BF33" s="90">
        <f t="shared" si="18"/>
        <v>0</v>
      </c>
      <c r="BG33" s="90">
        <v>391.01</v>
      </c>
      <c r="BH33" s="90">
        <f t="shared" si="19"/>
        <v>1927.68</v>
      </c>
      <c r="BI33" s="90">
        <f t="shared" si="20"/>
        <v>2.56</v>
      </c>
      <c r="BJ33" s="90">
        <f t="shared" si="21"/>
        <v>234.86238532110087</v>
      </c>
      <c r="BK33" s="90">
        <f t="shared" si="22"/>
        <v>1927.68</v>
      </c>
      <c r="BL33" s="90">
        <f t="shared" si="23"/>
        <v>2.56</v>
      </c>
      <c r="BM33" s="90"/>
      <c r="BN33" s="90">
        <f t="shared" si="24"/>
        <v>0</v>
      </c>
      <c r="BO33" s="90">
        <f t="shared" si="25"/>
        <v>1927.68</v>
      </c>
      <c r="BP33" s="90">
        <f t="shared" si="26"/>
        <v>2.5623820284460983</v>
      </c>
      <c r="BQ33" s="90"/>
      <c r="BR33" s="90">
        <f t="shared" si="27"/>
        <v>0</v>
      </c>
      <c r="BS33" s="90">
        <f t="shared" si="28"/>
        <v>1927.68</v>
      </c>
      <c r="BT33" s="90">
        <f t="shared" si="29"/>
        <v>2.5623820284460983</v>
      </c>
      <c r="BU33" s="90"/>
      <c r="BV33" s="93">
        <v>1.4356370000000001</v>
      </c>
      <c r="BW33" s="90">
        <f t="shared" si="30"/>
        <v>1080.0297151000002</v>
      </c>
      <c r="BX33" s="90">
        <f t="shared" si="31"/>
        <v>1144.8314980060002</v>
      </c>
      <c r="BY33" s="90"/>
      <c r="BZ33" s="90"/>
      <c r="CA33" s="90">
        <v>0.2651</v>
      </c>
      <c r="CB33" s="90">
        <f t="shared" si="542"/>
        <v>199.43473000000003</v>
      </c>
      <c r="CC33" s="90">
        <v>0.71072749999999996</v>
      </c>
      <c r="CD33" s="90">
        <f t="shared" si="33"/>
        <v>141.743747066075</v>
      </c>
      <c r="CE33" s="90">
        <f t="shared" si="34"/>
        <v>214.33093936321529</v>
      </c>
      <c r="CF33" s="90">
        <v>209.21064463476952</v>
      </c>
      <c r="CG33" s="90">
        <f>I33*0.2781317</f>
        <v>209.23847791</v>
      </c>
      <c r="CH33" s="90">
        <f t="shared" si="35"/>
        <v>219.28</v>
      </c>
      <c r="CI33" s="90">
        <f t="shared" si="524"/>
        <v>230.13478558736711</v>
      </c>
      <c r="CJ33" s="90">
        <f t="shared" si="36"/>
        <v>231.34</v>
      </c>
      <c r="CK33" s="90">
        <f t="shared" si="37"/>
        <v>244.66819166589161</v>
      </c>
      <c r="CL33" s="90">
        <f t="shared" si="38"/>
        <v>244.66819166589161</v>
      </c>
      <c r="CM33" s="94">
        <v>0.14899999999999999</v>
      </c>
      <c r="CN33" s="90">
        <f t="shared" si="39"/>
        <v>160.92442754990003</v>
      </c>
      <c r="CO33" s="90">
        <f t="shared" si="40"/>
        <v>170.57989320289406</v>
      </c>
      <c r="CP33" s="90"/>
      <c r="CQ33" s="90">
        <v>3.9539251999999997E-2</v>
      </c>
      <c r="CR33" s="90">
        <f t="shared" si="543"/>
        <v>29.745379279600002</v>
      </c>
      <c r="CS33" s="90">
        <v>0.71072749999999996</v>
      </c>
      <c r="CT33" s="90">
        <f t="shared" si="42"/>
        <v>21.140859051941909</v>
      </c>
      <c r="CU33" s="90">
        <f t="shared" si="43"/>
        <v>31.967125699279098</v>
      </c>
      <c r="CV33" s="90">
        <f>I33*0.0859436</f>
        <v>64.65537028</v>
      </c>
      <c r="CW33" s="90">
        <f t="shared" si="44"/>
        <v>67.760000000000005</v>
      </c>
      <c r="CX33" s="90">
        <f t="shared" si="525"/>
        <v>71.114251511309718</v>
      </c>
      <c r="CY33" s="90">
        <f t="shared" si="45"/>
        <v>71.489999999999995</v>
      </c>
      <c r="CZ33" s="90">
        <f t="shared" si="46"/>
        <v>75.605238358631965</v>
      </c>
      <c r="DA33" s="90">
        <f t="shared" si="47"/>
        <v>75.605238358631965</v>
      </c>
      <c r="DB33" s="93">
        <v>1.4169099999999999</v>
      </c>
      <c r="DC33" s="90">
        <f t="shared" si="48"/>
        <v>1065.9413930000001</v>
      </c>
      <c r="DD33" s="90">
        <f t="shared" si="49"/>
        <v>1129.8978765800002</v>
      </c>
      <c r="DE33" s="90"/>
      <c r="DF33" s="90"/>
      <c r="DG33" s="90">
        <v>0.16261500000000001</v>
      </c>
      <c r="DH33" s="90">
        <f t="shared" si="544"/>
        <v>122.33526450000002</v>
      </c>
      <c r="DI33" s="90">
        <v>0.71072749999999996</v>
      </c>
      <c r="DJ33" s="90">
        <f t="shared" si="51"/>
        <v>86.947036699923757</v>
      </c>
      <c r="DK33" s="90">
        <f t="shared" si="52"/>
        <v>131.47274879120806</v>
      </c>
      <c r="DL33" s="90">
        <f>I33*0.1382519</f>
        <v>104.00690437000002</v>
      </c>
      <c r="DM33" s="90">
        <f t="shared" si="53"/>
        <v>109</v>
      </c>
      <c r="DN33" s="90">
        <f t="shared" si="526"/>
        <v>114.39571155154603</v>
      </c>
      <c r="DO33" s="90">
        <f t="shared" si="54"/>
        <v>115</v>
      </c>
      <c r="DP33" s="90">
        <f t="shared" si="55"/>
        <v>121.61999676934596</v>
      </c>
      <c r="DQ33" s="90">
        <f t="shared" si="56"/>
        <v>121.61999676934596</v>
      </c>
      <c r="DR33" s="93">
        <v>5.6880149999999997E-2</v>
      </c>
      <c r="DS33" s="90">
        <f t="shared" si="57"/>
        <v>42.790936845000004</v>
      </c>
      <c r="DT33" s="90">
        <f t="shared" si="58"/>
        <v>45.358393055700006</v>
      </c>
      <c r="DU33" s="90"/>
      <c r="DV33" s="90">
        <v>6.1506E-3</v>
      </c>
      <c r="DW33" s="90">
        <f t="shared" si="545"/>
        <v>4.6270963800000002</v>
      </c>
      <c r="DX33" s="90">
        <v>0.71072749999999996</v>
      </c>
      <c r="DY33" s="90">
        <f t="shared" si="60"/>
        <v>3.2886046424164501</v>
      </c>
      <c r="DZ33" s="90">
        <f t="shared" si="61"/>
        <v>4.9727041706804682</v>
      </c>
      <c r="EA33" s="90">
        <f t="shared" si="62"/>
        <v>5.21</v>
      </c>
      <c r="EB33" s="90">
        <f t="shared" si="527"/>
        <v>5.4679051117757327</v>
      </c>
      <c r="EC33" s="90">
        <f t="shared" si="63"/>
        <v>5.5</v>
      </c>
      <c r="ED33" s="90">
        <f t="shared" si="64"/>
        <v>5.8132126896173624</v>
      </c>
      <c r="EE33" s="90">
        <f t="shared" si="65"/>
        <v>5.8132126896173624</v>
      </c>
      <c r="EF33" s="94">
        <v>0.85293354333000004</v>
      </c>
      <c r="EG33" s="90">
        <f t="shared" si="66"/>
        <v>513.32952371772728</v>
      </c>
      <c r="EH33" s="90">
        <f t="shared" si="67"/>
        <v>544.12929514079099</v>
      </c>
      <c r="EI33" s="90"/>
      <c r="EJ33" s="90">
        <v>0.58975</v>
      </c>
      <c r="EK33" s="90">
        <f t="shared" si="68"/>
        <v>354.93513999999999</v>
      </c>
      <c r="EL33" s="90">
        <v>0.71072749999999996</v>
      </c>
      <c r="EM33" s="90">
        <f t="shared" si="69"/>
        <v>252.26216471434998</v>
      </c>
      <c r="EN33" s="90">
        <f t="shared" si="70"/>
        <v>381.44600977580143</v>
      </c>
      <c r="EO33" s="90">
        <f>J33*0.61811</f>
        <v>372.00332240000006</v>
      </c>
      <c r="EP33" s="90">
        <f t="shared" si="71"/>
        <v>389.86</v>
      </c>
      <c r="EQ33" s="90">
        <f t="shared" si="528"/>
        <v>409.15882665583246</v>
      </c>
      <c r="ER33" s="90">
        <f t="shared" si="72"/>
        <v>411.3</v>
      </c>
      <c r="ES33" s="90">
        <f t="shared" si="73"/>
        <v>434.99790771098372</v>
      </c>
      <c r="ET33" s="90">
        <f t="shared" si="74"/>
        <v>434.99790771098372</v>
      </c>
      <c r="EU33" s="94">
        <v>0.14899999999999999</v>
      </c>
      <c r="EV33" s="90">
        <f t="shared" si="75"/>
        <v>76.486099033941358</v>
      </c>
      <c r="EW33" s="90">
        <f t="shared" si="76"/>
        <v>81.075264975977845</v>
      </c>
      <c r="EX33" s="90"/>
      <c r="EY33" s="90">
        <v>8.7870000000000004E-2</v>
      </c>
      <c r="EZ33" s="90">
        <f t="shared" si="77"/>
        <v>52.883680800000008</v>
      </c>
      <c r="FA33" s="90">
        <v>0.71072749999999996</v>
      </c>
      <c r="FB33" s="90">
        <f t="shared" si="78"/>
        <v>37.585886245782</v>
      </c>
      <c r="FC33" s="90">
        <f t="shared" si="79"/>
        <v>56.83367677659971</v>
      </c>
      <c r="FD33" s="90">
        <f>J33*0.19113</f>
        <v>115.0296792</v>
      </c>
      <c r="FE33" s="90">
        <f t="shared" si="80"/>
        <v>120.55</v>
      </c>
      <c r="FF33" s="90">
        <f t="shared" si="529"/>
        <v>126.51745896824654</v>
      </c>
      <c r="FG33" s="90">
        <f t="shared" si="81"/>
        <v>127.18</v>
      </c>
      <c r="FH33" s="90">
        <f t="shared" si="82"/>
        <v>134.50725330774915</v>
      </c>
      <c r="FI33" s="90">
        <f t="shared" si="83"/>
        <v>134.50725330774915</v>
      </c>
      <c r="FJ33" s="93">
        <v>0.49981642240000002</v>
      </c>
      <c r="FK33" s="90">
        <f t="shared" si="84"/>
        <v>300.80951565721602</v>
      </c>
      <c r="FL33" s="90">
        <f t="shared" si="85"/>
        <v>318.858086596649</v>
      </c>
      <c r="FM33" s="90"/>
      <c r="FN33" s="90">
        <v>0.35812500000000003</v>
      </c>
      <c r="FO33" s="90">
        <f t="shared" si="86"/>
        <v>215.53395000000003</v>
      </c>
      <c r="FP33" s="90">
        <v>0.71072749999999996</v>
      </c>
      <c r="FQ33" s="90">
        <f t="shared" si="87"/>
        <v>153.18590544862502</v>
      </c>
      <c r="FR33" s="90">
        <f t="shared" si="88"/>
        <v>231.63264476635683</v>
      </c>
      <c r="FS33" s="90">
        <f>J33*0.303398</f>
        <v>182.59705232000002</v>
      </c>
      <c r="FT33" s="90">
        <f t="shared" si="89"/>
        <v>191.36</v>
      </c>
      <c r="FU33" s="90">
        <f>J33*0.303652</f>
        <v>182.74991968</v>
      </c>
      <c r="FV33" s="90">
        <f t="shared" si="90"/>
        <v>191.52</v>
      </c>
      <c r="FW33" s="90">
        <f t="shared" si="530"/>
        <v>201.00061170965228</v>
      </c>
      <c r="FX33" s="90">
        <f t="shared" si="91"/>
        <v>202.05</v>
      </c>
      <c r="FY33" s="90">
        <f t="shared" si="92"/>
        <v>213.694144782249</v>
      </c>
      <c r="FZ33" s="90">
        <f t="shared" si="93"/>
        <v>213.694144782249</v>
      </c>
      <c r="GA33" s="94">
        <v>1.352261642E-2</v>
      </c>
      <c r="GB33" s="90">
        <f t="shared" si="94"/>
        <v>8.1384514662127998</v>
      </c>
      <c r="GC33" s="90">
        <f t="shared" si="95"/>
        <v>8.6267585541855674</v>
      </c>
      <c r="GD33" s="90"/>
      <c r="GE33" s="90">
        <v>1.0749999999999999E-2</v>
      </c>
      <c r="GF33" s="90">
        <f t="shared" si="96"/>
        <v>6.4697800000000001</v>
      </c>
      <c r="GG33" s="90">
        <v>0.71072749999999996</v>
      </c>
      <c r="GH33" s="90">
        <f t="shared" si="97"/>
        <v>4.5982505649499998</v>
      </c>
      <c r="GI33" s="90">
        <f t="shared" si="98"/>
        <v>6.9530217975241468</v>
      </c>
      <c r="GJ33" s="90">
        <f t="shared" si="99"/>
        <v>7.29</v>
      </c>
      <c r="GK33" s="90">
        <f t="shared" si="531"/>
        <v>7.6508691487226654</v>
      </c>
      <c r="GL33" s="90">
        <f t="shared" si="100"/>
        <v>7.69</v>
      </c>
      <c r="GM33" s="90">
        <f t="shared" si="101"/>
        <v>8.1340346463168078</v>
      </c>
      <c r="GN33" s="90">
        <f t="shared" si="102"/>
        <v>8.1340346463168078</v>
      </c>
      <c r="GO33" s="90">
        <v>3198</v>
      </c>
      <c r="GP33" s="90">
        <f t="shared" si="103"/>
        <v>266.5</v>
      </c>
      <c r="GQ33" s="90">
        <f>2116.8+138.6</f>
        <v>2255.4</v>
      </c>
      <c r="GR33" s="90">
        <f t="shared" si="104"/>
        <v>187.95000000000002</v>
      </c>
      <c r="GS33" s="90">
        <f t="shared" si="105"/>
        <v>454.45000000000005</v>
      </c>
      <c r="GT33" s="90">
        <f t="shared" si="106"/>
        <v>0.6</v>
      </c>
      <c r="GU33" s="90">
        <v>3652.56</v>
      </c>
      <c r="GV33" s="90">
        <f>2006.4+132.24</f>
        <v>2138.6400000000003</v>
      </c>
      <c r="GW33" s="90">
        <f t="shared" si="107"/>
        <v>482.60000000000008</v>
      </c>
      <c r="GX33" s="90">
        <f t="shared" si="108"/>
        <v>0.64</v>
      </c>
      <c r="GY33" s="90">
        <v>6481.64</v>
      </c>
      <c r="GZ33" s="90">
        <f>2134.08+141.36</f>
        <v>2275.44</v>
      </c>
      <c r="HA33" s="90">
        <f t="shared" si="109"/>
        <v>729.75666666666666</v>
      </c>
      <c r="HB33" s="90">
        <f t="shared" si="110"/>
        <v>0.97</v>
      </c>
      <c r="HC33" s="90">
        <v>6481.64</v>
      </c>
      <c r="HD33" s="90">
        <f>2134.08+141.36</f>
        <v>2275.44</v>
      </c>
      <c r="HE33" s="90">
        <f t="shared" si="111"/>
        <v>729.75666666666666</v>
      </c>
      <c r="HF33" s="90">
        <f t="shared" si="112"/>
        <v>0.97</v>
      </c>
      <c r="HG33" s="90"/>
      <c r="HH33" s="90"/>
      <c r="HI33" s="90">
        <v>0.96</v>
      </c>
      <c r="HJ33" s="90">
        <f t="shared" si="113"/>
        <v>722.20800000000008</v>
      </c>
      <c r="HK33" s="90">
        <f t="shared" si="114"/>
        <v>1.0060747042403295</v>
      </c>
      <c r="HL33" s="90">
        <f t="shared" si="115"/>
        <v>756.87</v>
      </c>
      <c r="HM33" s="90">
        <v>1.07</v>
      </c>
      <c r="HN33" s="90">
        <f t="shared" si="116"/>
        <v>804.96100000000013</v>
      </c>
      <c r="HO33" s="90">
        <v>1.1499999999999999</v>
      </c>
      <c r="HP33" s="90">
        <f t="shared" si="117"/>
        <v>865.15</v>
      </c>
      <c r="HQ33" s="90">
        <v>1.1499999999999999</v>
      </c>
      <c r="HR33" s="90">
        <f t="shared" si="118"/>
        <v>865.15</v>
      </c>
      <c r="HS33" s="90">
        <v>0.31919999999999998</v>
      </c>
      <c r="HT33" s="90">
        <f t="shared" si="119"/>
        <v>240.13416000000001</v>
      </c>
      <c r="HU33" s="90" t="e">
        <f>HT33*#REF!</f>
        <v>#REF!</v>
      </c>
      <c r="HV33" s="90">
        <v>2.83</v>
      </c>
      <c r="HW33" s="90">
        <v>3.1</v>
      </c>
      <c r="HX33" s="90">
        <f t="shared" si="120"/>
        <v>2332.13</v>
      </c>
      <c r="HY33" s="90">
        <v>1.06</v>
      </c>
      <c r="HZ33" s="90">
        <f t="shared" si="121"/>
        <v>2472.0578</v>
      </c>
      <c r="IA33" s="90">
        <f t="shared" si="122"/>
        <v>3.29</v>
      </c>
      <c r="IB33" s="90">
        <f t="shared" si="123"/>
        <v>3.45</v>
      </c>
      <c r="IC33" s="90">
        <f t="shared" si="124"/>
        <v>2595.4350000000004</v>
      </c>
      <c r="ID33" s="90">
        <f t="shared" si="125"/>
        <v>3.64</v>
      </c>
      <c r="IE33" s="90">
        <f t="shared" si="126"/>
        <v>2738.37</v>
      </c>
      <c r="IF33" s="90">
        <f t="shared" si="127"/>
        <v>3.64</v>
      </c>
      <c r="IG33" s="92">
        <f t="shared" si="128"/>
        <v>32860.44</v>
      </c>
      <c r="IH33" s="90">
        <v>3.91</v>
      </c>
      <c r="II33" s="90">
        <f t="shared" si="129"/>
        <v>4.1100000000000003</v>
      </c>
      <c r="IJ33" s="90">
        <f t="shared" si="130"/>
        <v>3091.95</v>
      </c>
      <c r="IK33" s="90">
        <f t="shared" si="131"/>
        <v>4.1100000000000003</v>
      </c>
      <c r="IL33" s="90">
        <f t="shared" si="132"/>
        <v>3091.95</v>
      </c>
      <c r="IM33" s="90">
        <f t="shared" si="133"/>
        <v>4.1100000000000003</v>
      </c>
      <c r="IN33" s="90">
        <f t="shared" si="134"/>
        <v>3091.95</v>
      </c>
      <c r="IO33" s="90">
        <f t="shared" si="135"/>
        <v>4.1100000000000003</v>
      </c>
      <c r="IP33" s="93">
        <v>0.37052404126999999</v>
      </c>
      <c r="IQ33" s="90">
        <f t="shared" si="136"/>
        <v>222.9961889979368</v>
      </c>
      <c r="IR33" s="90">
        <f t="shared" si="137"/>
        <v>236.37596033781301</v>
      </c>
      <c r="IS33" s="90">
        <v>108693.96</v>
      </c>
      <c r="IT33" s="90">
        <v>3053.33</v>
      </c>
      <c r="IU33" s="94"/>
      <c r="IV33" s="94"/>
      <c r="IW33" s="94">
        <v>1.6976249999999999</v>
      </c>
      <c r="IX33" s="90">
        <f t="shared" si="138"/>
        <v>1021.69863</v>
      </c>
      <c r="IY33" s="93">
        <v>0.56339614052999998</v>
      </c>
      <c r="IZ33" s="90">
        <f t="shared" si="139"/>
        <v>423.84291652071903</v>
      </c>
      <c r="JA33" s="90">
        <f t="shared" si="140"/>
        <v>444.19</v>
      </c>
      <c r="JB33" s="90">
        <f t="shared" si="532"/>
        <v>466.17826710166264</v>
      </c>
      <c r="JC33" s="90">
        <f t="shared" si="141"/>
        <v>468.62</v>
      </c>
      <c r="JD33" s="90">
        <f t="shared" si="142"/>
        <v>495.61822353188796</v>
      </c>
      <c r="JE33" s="90">
        <f t="shared" si="143"/>
        <v>495.61822353188796</v>
      </c>
      <c r="JF33" s="93">
        <v>4.2278943710000003E-2</v>
      </c>
      <c r="JG33" s="90">
        <f t="shared" si="144"/>
        <v>25.445159482426401</v>
      </c>
      <c r="JH33" s="90">
        <f t="shared" si="145"/>
        <v>26.971869051371986</v>
      </c>
      <c r="JI33" s="20">
        <v>462.98</v>
      </c>
      <c r="JJ33" s="20"/>
      <c r="JK33" s="20">
        <v>6.0624999999999998E-2</v>
      </c>
      <c r="JL33" s="90">
        <f t="shared" si="146"/>
        <v>36.486550000000001</v>
      </c>
      <c r="JM33" s="93">
        <v>6.7347080040000007E-2</v>
      </c>
      <c r="JN33" s="90">
        <f t="shared" si="147"/>
        <v>50.665208314092013</v>
      </c>
      <c r="JO33" s="90">
        <f t="shared" si="148"/>
        <v>53.1</v>
      </c>
      <c r="JP33" s="90">
        <f t="shared" si="533"/>
        <v>55.7285530585972</v>
      </c>
      <c r="JQ33" s="90">
        <f t="shared" si="149"/>
        <v>56.02</v>
      </c>
      <c r="JR33" s="90">
        <f t="shared" si="150"/>
        <v>59.247906683048363</v>
      </c>
      <c r="JS33" s="90">
        <f t="shared" si="151"/>
        <v>59.247906683048363</v>
      </c>
      <c r="JT33" s="93">
        <v>7.3220517000000002E-3</v>
      </c>
      <c r="JU33" s="90">
        <f t="shared" si="152"/>
        <v>4.4067035951280005</v>
      </c>
      <c r="JV33" s="90">
        <f t="shared" si="153"/>
        <v>4.62</v>
      </c>
      <c r="JW33" s="90">
        <f t="shared" si="534"/>
        <v>4.8486989666802076</v>
      </c>
      <c r="JX33" s="90">
        <f t="shared" si="154"/>
        <v>4.87</v>
      </c>
      <c r="JY33" s="90">
        <f t="shared" si="155"/>
        <v>5.1549026153612694</v>
      </c>
      <c r="JZ33" s="90">
        <f t="shared" si="156"/>
        <v>5.1549026153612694</v>
      </c>
      <c r="KA33" s="90">
        <v>8.3090999999999998E-3</v>
      </c>
      <c r="KB33" s="90">
        <f t="shared" si="157"/>
        <v>5.000748744</v>
      </c>
      <c r="KC33" s="90" t="e">
        <f>KB33*#REF!</f>
        <v>#REF!</v>
      </c>
      <c r="KD33" s="90">
        <v>34406.519999999997</v>
      </c>
      <c r="KE33" s="90">
        <v>40292.97</v>
      </c>
      <c r="KF33" s="90"/>
      <c r="KG33" s="90">
        <f t="shared" si="546"/>
        <v>881.00747564705773</v>
      </c>
      <c r="KH33" s="90" t="e">
        <f>KG33/(BW33+#REF!)*(CB33+#REF!)</f>
        <v>#REF!</v>
      </c>
      <c r="KI33" s="90">
        <v>0.8</v>
      </c>
      <c r="KJ33" s="94"/>
      <c r="KK33" s="90">
        <f t="shared" si="159"/>
        <v>0</v>
      </c>
      <c r="KL33" s="93">
        <v>1.2690177</v>
      </c>
      <c r="KM33" s="90">
        <f t="shared" si="160"/>
        <v>954.68201571000009</v>
      </c>
      <c r="KN33" s="90">
        <f t="shared" si="161"/>
        <v>1011.9629366526001</v>
      </c>
      <c r="KO33" s="90" t="e">
        <f>BW33+CN33+DC33+DS33+EG33+EV33+FK33+GB33+#REF!+#REF!+HJ33+HX33+IQ33+JG33+JU33+KK33+KM33</f>
        <v>#REF!</v>
      </c>
      <c r="KP33" s="90"/>
      <c r="KQ33" s="90">
        <v>0.50815001599999998</v>
      </c>
      <c r="KR33" s="90">
        <f t="shared" si="514"/>
        <v>382.28125703680001</v>
      </c>
      <c r="KS33" s="90">
        <v>0.71072749999999996</v>
      </c>
      <c r="KT33" s="90">
        <f t="shared" si="163"/>
        <v>271.69780211062226</v>
      </c>
      <c r="KU33" s="90">
        <f t="shared" si="164"/>
        <v>410.83466716979581</v>
      </c>
      <c r="KV33" s="90">
        <f t="shared" si="165"/>
        <v>430.55</v>
      </c>
      <c r="KW33" s="90">
        <f t="shared" si="535"/>
        <v>451.86306062860683</v>
      </c>
      <c r="KX33" s="90">
        <f t="shared" si="166"/>
        <v>454.23</v>
      </c>
      <c r="KY33" s="90">
        <f t="shared" si="167"/>
        <v>480.39898723891656</v>
      </c>
      <c r="KZ33" s="90">
        <f t="shared" si="168"/>
        <v>480.39898723891656</v>
      </c>
      <c r="LA33" s="90">
        <f t="shared" si="169"/>
        <v>2949.02</v>
      </c>
      <c r="LB33" s="90">
        <f t="shared" si="170"/>
        <v>3.92</v>
      </c>
      <c r="LC33" s="92">
        <f t="shared" si="171"/>
        <v>35388.239999999998</v>
      </c>
      <c r="LD33" s="92">
        <v>4.21</v>
      </c>
      <c r="LE33" s="92">
        <v>3167.1799999999994</v>
      </c>
      <c r="LF33" s="90">
        <f t="shared" si="172"/>
        <v>4.18</v>
      </c>
      <c r="LG33" s="90">
        <f t="shared" si="173"/>
        <v>3144.61</v>
      </c>
      <c r="LH33" s="90">
        <f t="shared" si="174"/>
        <v>3170.1965</v>
      </c>
      <c r="LI33" s="90">
        <f t="shared" si="175"/>
        <v>4.21</v>
      </c>
      <c r="LJ33" s="90">
        <f t="shared" si="176"/>
        <v>3144.6099999999997</v>
      </c>
      <c r="LK33" s="90">
        <f t="shared" si="177"/>
        <v>4.18</v>
      </c>
      <c r="LL33" s="90">
        <f t="shared" si="178"/>
        <v>3144.6099999999997</v>
      </c>
      <c r="LM33" s="90">
        <f t="shared" si="179"/>
        <v>4.18</v>
      </c>
      <c r="LN33" s="95">
        <v>0.46</v>
      </c>
      <c r="LO33" s="95">
        <f t="shared" si="180"/>
        <v>346.06</v>
      </c>
      <c r="LP33" s="95"/>
      <c r="LQ33" s="95">
        <f t="shared" si="181"/>
        <v>0</v>
      </c>
      <c r="LR33" s="90"/>
      <c r="LS33" s="90"/>
      <c r="LT33" s="90">
        <f t="shared" si="182"/>
        <v>0</v>
      </c>
      <c r="LU33" s="90"/>
      <c r="LV33" s="90">
        <f t="shared" si="183"/>
        <v>0</v>
      </c>
      <c r="LW33" s="90">
        <f t="shared" si="184"/>
        <v>0</v>
      </c>
      <c r="LX33" s="90"/>
      <c r="LY33" s="90"/>
      <c r="LZ33" s="90">
        <f t="shared" si="185"/>
        <v>0</v>
      </c>
      <c r="MA33" s="90"/>
      <c r="MB33" s="90">
        <f t="shared" si="186"/>
        <v>0</v>
      </c>
      <c r="MC33" s="90">
        <f t="shared" si="187"/>
        <v>0</v>
      </c>
      <c r="MD33" s="90"/>
      <c r="ME33" s="90"/>
      <c r="MF33" s="90">
        <f t="shared" si="188"/>
        <v>0</v>
      </c>
      <c r="MG33" s="90"/>
      <c r="MH33" s="90">
        <f t="shared" si="189"/>
        <v>0</v>
      </c>
      <c r="MI33" s="90">
        <f t="shared" si="190"/>
        <v>0</v>
      </c>
      <c r="MJ33" s="90"/>
      <c r="MK33" s="90"/>
      <c r="ML33" s="90">
        <f t="shared" si="191"/>
        <v>0</v>
      </c>
      <c r="MM33" s="90"/>
      <c r="MN33" s="90">
        <f t="shared" si="192"/>
        <v>0</v>
      </c>
      <c r="MO33" s="90">
        <f t="shared" si="193"/>
        <v>0</v>
      </c>
      <c r="MP33" s="90">
        <f t="shared" si="194"/>
        <v>0</v>
      </c>
      <c r="MQ33" s="90">
        <f t="shared" si="195"/>
        <v>0</v>
      </c>
      <c r="MR33" s="90">
        <f t="shared" si="196"/>
        <v>0</v>
      </c>
      <c r="MS33" s="90">
        <f t="shared" si="197"/>
        <v>0</v>
      </c>
      <c r="MT33" s="95"/>
      <c r="MU33" s="95">
        <f t="shared" si="198"/>
        <v>0</v>
      </c>
      <c r="MV33" s="92">
        <f t="shared" si="199"/>
        <v>0</v>
      </c>
      <c r="MW33" s="95"/>
      <c r="MX33" s="95">
        <f t="shared" si="200"/>
        <v>0</v>
      </c>
      <c r="MY33" s="95"/>
      <c r="MZ33" s="95">
        <f t="shared" si="201"/>
        <v>0</v>
      </c>
      <c r="NA33" s="95"/>
      <c r="NB33" s="95">
        <f t="shared" si="202"/>
        <v>0</v>
      </c>
      <c r="NC33" s="92">
        <f t="shared" si="203"/>
        <v>0</v>
      </c>
      <c r="ND33" s="95"/>
      <c r="NE33" s="95">
        <f t="shared" si="204"/>
        <v>0</v>
      </c>
      <c r="NF33" s="95"/>
      <c r="NG33" s="95">
        <f t="shared" si="205"/>
        <v>0</v>
      </c>
      <c r="NH33" s="95"/>
      <c r="NI33" s="95"/>
      <c r="NJ33" s="95">
        <f t="shared" si="206"/>
        <v>0</v>
      </c>
      <c r="NK33" s="92">
        <f t="shared" si="207"/>
        <v>0</v>
      </c>
      <c r="NL33" s="95"/>
      <c r="NM33" s="95">
        <f t="shared" si="208"/>
        <v>0</v>
      </c>
      <c r="NN33" s="95"/>
      <c r="NO33" s="95">
        <f t="shared" si="209"/>
        <v>0</v>
      </c>
      <c r="NP33" s="95"/>
      <c r="NQ33" s="95">
        <f t="shared" si="210"/>
        <v>0</v>
      </c>
      <c r="NR33" s="92">
        <f t="shared" si="211"/>
        <v>0</v>
      </c>
      <c r="NS33" s="95"/>
      <c r="NT33" s="95">
        <f t="shared" si="212"/>
        <v>0</v>
      </c>
      <c r="NU33" s="95"/>
      <c r="NV33" s="95">
        <f t="shared" si="213"/>
        <v>0</v>
      </c>
      <c r="NW33" s="95"/>
      <c r="NX33" s="95">
        <f t="shared" si="214"/>
        <v>0</v>
      </c>
      <c r="NY33" s="92">
        <f t="shared" si="215"/>
        <v>0</v>
      </c>
      <c r="NZ33" s="95"/>
      <c r="OA33" s="95">
        <f t="shared" si="216"/>
        <v>0</v>
      </c>
      <c r="OB33" s="95"/>
      <c r="OC33" s="95">
        <f t="shared" si="217"/>
        <v>0</v>
      </c>
      <c r="OD33" s="90">
        <v>6018.4</v>
      </c>
      <c r="OE33" s="90">
        <f t="shared" si="218"/>
        <v>8</v>
      </c>
      <c r="OF33" s="92">
        <f t="shared" si="219"/>
        <v>72220.799999999988</v>
      </c>
      <c r="OG33" s="96">
        <v>819.54</v>
      </c>
      <c r="OH33" s="96">
        <v>1.0900000000000001</v>
      </c>
      <c r="OI33" s="90">
        <v>6838.41</v>
      </c>
      <c r="OJ33" s="90">
        <f t="shared" si="220"/>
        <v>9.09</v>
      </c>
      <c r="OK33" s="90">
        <f t="shared" si="221"/>
        <v>6837.94</v>
      </c>
      <c r="OL33" s="90">
        <f t="shared" si="222"/>
        <v>9.09</v>
      </c>
      <c r="OM33" s="90">
        <f t="shared" si="223"/>
        <v>0</v>
      </c>
      <c r="ON33" s="90">
        <v>6018.4</v>
      </c>
      <c r="OO33" s="90">
        <f t="shared" si="224"/>
        <v>8</v>
      </c>
      <c r="OP33" s="90">
        <v>6018.87</v>
      </c>
      <c r="OQ33" s="90">
        <v>8</v>
      </c>
      <c r="OR33" s="90">
        <f t="shared" si="225"/>
        <v>0</v>
      </c>
      <c r="OS33" s="90">
        <f t="shared" si="226"/>
        <v>8</v>
      </c>
      <c r="OT33" s="90">
        <v>6018.4</v>
      </c>
      <c r="OU33" s="90">
        <f t="shared" si="227"/>
        <v>8</v>
      </c>
      <c r="OV33" s="97">
        <v>5266.1</v>
      </c>
      <c r="OW33" s="90">
        <f t="shared" si="228"/>
        <v>6770.7</v>
      </c>
      <c r="OX33" s="90">
        <f t="shared" si="229"/>
        <v>9</v>
      </c>
      <c r="OY33" s="90">
        <f>OU33-1+2</f>
        <v>9</v>
      </c>
      <c r="OZ33" s="90"/>
      <c r="PA33" s="90"/>
      <c r="PB33" s="95">
        <f t="shared" si="230"/>
        <v>0</v>
      </c>
      <c r="PC33" s="92">
        <f t="shared" si="231"/>
        <v>0</v>
      </c>
      <c r="PD33" s="90"/>
      <c r="PE33" s="95">
        <f t="shared" si="232"/>
        <v>0</v>
      </c>
      <c r="PF33" s="90">
        <f t="shared" si="233"/>
        <v>12979.779999999999</v>
      </c>
      <c r="PG33" s="90">
        <f t="shared" si="234"/>
        <v>17.25</v>
      </c>
      <c r="PH33" s="90">
        <f t="shared" si="235"/>
        <v>16010.756666666664</v>
      </c>
      <c r="PI33" s="90">
        <f t="shared" si="236"/>
        <v>21.28</v>
      </c>
      <c r="PJ33" s="90">
        <f t="shared" si="237"/>
        <v>16010.756666666664</v>
      </c>
      <c r="PK33" s="90">
        <f t="shared" si="238"/>
        <v>21.28</v>
      </c>
      <c r="PL33" s="90"/>
      <c r="PM33" s="90">
        <f t="shared" si="239"/>
        <v>389.39</v>
      </c>
      <c r="PN33" s="90">
        <f t="shared" si="240"/>
        <v>0.52</v>
      </c>
      <c r="PO33" s="92">
        <f t="shared" si="241"/>
        <v>4672.68</v>
      </c>
      <c r="PP33" s="90">
        <f t="shared" si="242"/>
        <v>480.32</v>
      </c>
      <c r="PQ33" s="90">
        <f t="shared" si="243"/>
        <v>0.64</v>
      </c>
      <c r="PR33" s="90">
        <f t="shared" si="244"/>
        <v>480.32</v>
      </c>
      <c r="PS33" s="90">
        <f t="shared" si="245"/>
        <v>0.64</v>
      </c>
      <c r="PT33" s="90">
        <f t="shared" si="246"/>
        <v>13369.169999999998</v>
      </c>
      <c r="PU33" s="90">
        <f t="shared" si="247"/>
        <v>17.77</v>
      </c>
      <c r="PV33" s="90">
        <f t="shared" si="248"/>
        <v>16491.076666666664</v>
      </c>
      <c r="PW33" s="90">
        <f t="shared" si="249"/>
        <v>21.92</v>
      </c>
      <c r="PX33" s="90">
        <f t="shared" si="250"/>
        <v>16491.076666666664</v>
      </c>
      <c r="PY33" s="90">
        <f t="shared" si="251"/>
        <v>21.92</v>
      </c>
      <c r="PZ33" s="90">
        <f t="shared" si="252"/>
        <v>135.04</v>
      </c>
      <c r="QA33" s="90">
        <f t="shared" si="253"/>
        <v>0.18</v>
      </c>
      <c r="QB33" s="92">
        <f t="shared" si="254"/>
        <v>1620.48</v>
      </c>
      <c r="QC33" s="90">
        <f t="shared" si="255"/>
        <v>166.58</v>
      </c>
      <c r="QD33" s="90">
        <f t="shared" si="256"/>
        <v>0.22</v>
      </c>
      <c r="QE33" s="90">
        <f t="shared" si="257"/>
        <v>166.58</v>
      </c>
      <c r="QF33" s="90">
        <f t="shared" si="258"/>
        <v>0.22</v>
      </c>
      <c r="QG33" s="90">
        <f t="shared" si="259"/>
        <v>13504.21</v>
      </c>
      <c r="QH33" s="90">
        <f t="shared" si="260"/>
        <v>17.95</v>
      </c>
      <c r="QI33" s="92">
        <f t="shared" si="261"/>
        <v>162050.51999999999</v>
      </c>
      <c r="QJ33" s="90">
        <f t="shared" si="262"/>
        <v>469.81306062860682</v>
      </c>
      <c r="QK33" s="98">
        <f t="shared" si="263"/>
        <v>0.21869999999999998</v>
      </c>
      <c r="QL33" s="90">
        <f t="shared" si="264"/>
        <v>164.52800999999999</v>
      </c>
      <c r="QM33" s="90">
        <f t="shared" si="265"/>
        <v>0.14579999999999999</v>
      </c>
      <c r="QN33" s="90">
        <f t="shared" si="266"/>
        <v>109.68534</v>
      </c>
      <c r="QO33" s="90">
        <v>0.21869999999999998</v>
      </c>
      <c r="QP33" s="90">
        <v>0.14579999999999999</v>
      </c>
      <c r="QQ33" s="97">
        <f t="shared" si="267"/>
        <v>274.21334999999999</v>
      </c>
      <c r="QR33" s="97">
        <v>274.17689999999999</v>
      </c>
      <c r="QS33" s="97">
        <f t="shared" si="268"/>
        <v>3.6450000000002092E-2</v>
      </c>
      <c r="QT33" s="90"/>
      <c r="QU33" s="90">
        <f t="shared" si="269"/>
        <v>0.14579999999999999</v>
      </c>
      <c r="QV33" s="90">
        <f t="shared" si="270"/>
        <v>109.68534</v>
      </c>
      <c r="QW33" s="90">
        <f t="shared" si="271"/>
        <v>274.21334999999999</v>
      </c>
      <c r="QX33" s="90">
        <f t="shared" si="272"/>
        <v>0.36449999999999994</v>
      </c>
      <c r="QY33" s="90"/>
      <c r="QZ33" s="90"/>
      <c r="RA33" s="90"/>
      <c r="RB33" s="90">
        <v>2799.43</v>
      </c>
      <c r="RC33" s="97">
        <f t="shared" si="273"/>
        <v>13504.21</v>
      </c>
      <c r="RD33" s="97">
        <f t="shared" si="274"/>
        <v>17.95</v>
      </c>
      <c r="RE33" s="90">
        <f t="shared" si="275"/>
        <v>16657.656666666666</v>
      </c>
      <c r="RF33" s="90">
        <f t="shared" si="276"/>
        <v>22.14</v>
      </c>
      <c r="RG33" s="90">
        <f t="shared" si="277"/>
        <v>123.34261838440112</v>
      </c>
      <c r="RH33" s="90">
        <f t="shared" si="278"/>
        <v>16657.656666666666</v>
      </c>
      <c r="RI33" s="90">
        <f t="shared" si="279"/>
        <v>22.14</v>
      </c>
      <c r="RJ33" s="90">
        <v>19.760000000000002</v>
      </c>
      <c r="RK33" s="90">
        <v>0</v>
      </c>
      <c r="RL33" s="90">
        <f t="shared" si="280"/>
        <v>2.379999999999999</v>
      </c>
      <c r="RM33" s="90">
        <f t="shared" si="281"/>
        <v>116.1594963273872</v>
      </c>
      <c r="RN33" s="90">
        <f t="shared" si="282"/>
        <v>7236.76</v>
      </c>
      <c r="RO33" s="90"/>
      <c r="RP33" s="90"/>
      <c r="RQ33" s="99">
        <v>572</v>
      </c>
      <c r="RR33" s="90">
        <f t="shared" si="283"/>
        <v>7485.8099999999995</v>
      </c>
      <c r="RS33" s="90">
        <f t="shared" si="284"/>
        <v>9.950564934201779</v>
      </c>
      <c r="RT33" s="90">
        <f>11.28+3.3</f>
        <v>14.579999999999998</v>
      </c>
      <c r="RU33" s="90">
        <f t="shared" si="285"/>
        <v>10968.534</v>
      </c>
      <c r="RV33" s="90">
        <f t="shared" si="286"/>
        <v>0.62450227386495649</v>
      </c>
      <c r="RW33" s="90">
        <v>10.43</v>
      </c>
      <c r="RX33" s="90">
        <f t="shared" si="287"/>
        <v>10.951499999999999</v>
      </c>
      <c r="RY33" s="90">
        <f t="shared" si="288"/>
        <v>8238.8134499999996</v>
      </c>
      <c r="RZ33" s="90">
        <f t="shared" si="289"/>
        <v>2173.5730849746255</v>
      </c>
      <c r="SA33" s="90">
        <f t="shared" si="290"/>
        <v>972.45025654468645</v>
      </c>
      <c r="SB33" s="90">
        <f t="shared" si="291"/>
        <v>1470.443538310461</v>
      </c>
      <c r="SC33" s="90">
        <f t="shared" si="292"/>
        <v>2671.5663667404001</v>
      </c>
      <c r="SD33" s="90">
        <f t="shared" si="293"/>
        <v>2671.5663667404001</v>
      </c>
      <c r="SE33" s="90">
        <f t="shared" si="294"/>
        <v>2711.8116994779398</v>
      </c>
      <c r="SF33" s="90">
        <f t="shared" si="295"/>
        <v>2671.3861947727091</v>
      </c>
      <c r="SG33" s="90">
        <f t="shared" si="296"/>
        <v>0.18017196769096699</v>
      </c>
      <c r="SH33" s="90">
        <f t="shared" si="297"/>
        <v>2671.5390621327092</v>
      </c>
      <c r="SI33" s="90">
        <f t="shared" si="298"/>
        <v>3.5511981479999997</v>
      </c>
      <c r="SJ33" s="90">
        <f t="shared" si="299"/>
        <v>3.5509586531605861</v>
      </c>
      <c r="SK33" s="90"/>
      <c r="SL33" s="90"/>
      <c r="SM33" s="90"/>
      <c r="SN33" s="90">
        <f t="shared" si="300"/>
        <v>2860.19</v>
      </c>
      <c r="SO33" s="90" t="e">
        <f>RU33-#REF!-#REF!-HZ33-LT33-LZ33-MF33-ML33-QL33-QN33-SD33</f>
        <v>#REF!</v>
      </c>
      <c r="SP33" s="90">
        <f t="shared" si="301"/>
        <v>2799.8</v>
      </c>
      <c r="SQ33" s="90">
        <f t="shared" si="302"/>
        <v>2949.02</v>
      </c>
      <c r="SR33" s="90">
        <f t="shared" si="303"/>
        <v>3.7216535956400372</v>
      </c>
      <c r="SS33" s="90">
        <f t="shared" si="304"/>
        <v>3.9200053170277811</v>
      </c>
      <c r="ST33" s="90">
        <f t="shared" si="305"/>
        <v>2960.2509999999997</v>
      </c>
      <c r="SU33" s="90">
        <v>3.72165647434193</v>
      </c>
      <c r="SV33" s="90">
        <f t="shared" si="306"/>
        <v>3.93</v>
      </c>
      <c r="SW33" s="90">
        <v>3.92</v>
      </c>
      <c r="SX33" s="90">
        <f t="shared" si="307"/>
        <v>2949.02</v>
      </c>
      <c r="SY33" s="90">
        <v>3.72165647434193</v>
      </c>
      <c r="SZ33" s="90">
        <f t="shared" si="308"/>
        <v>2799.8021656474343</v>
      </c>
      <c r="TA33" s="90">
        <f t="shared" si="309"/>
        <v>2.165647434139828E-3</v>
      </c>
      <c r="TB33" s="90">
        <v>0</v>
      </c>
      <c r="TC33" s="90">
        <f t="shared" si="310"/>
        <v>4291.5956499999975</v>
      </c>
      <c r="TD33" s="90" t="e">
        <f>#REF!+#REF!</f>
        <v>#REF!</v>
      </c>
      <c r="TE33" s="90" t="e">
        <f t="shared" si="311"/>
        <v>#REF!</v>
      </c>
      <c r="TF33" s="90">
        <v>4205.9857666666649</v>
      </c>
      <c r="TG33" s="90">
        <f t="shared" si="312"/>
        <v>39.12642883725389</v>
      </c>
      <c r="TH33" s="95"/>
      <c r="TI33" s="95"/>
      <c r="TJ33" s="95"/>
      <c r="TK33" s="95"/>
      <c r="TL33" s="95"/>
      <c r="TM33" s="95">
        <f t="shared" si="313"/>
        <v>0</v>
      </c>
      <c r="TN33" s="95">
        <f t="shared" si="314"/>
        <v>10968.534</v>
      </c>
      <c r="TO33" s="95">
        <f t="shared" si="315"/>
        <v>39.12642883725389</v>
      </c>
      <c r="TP33" s="95"/>
      <c r="TQ33" s="95">
        <f t="shared" si="316"/>
        <v>14.579999999999998</v>
      </c>
      <c r="TR33" s="95"/>
      <c r="TS33" s="95"/>
      <c r="TT33" s="95"/>
      <c r="TU33" s="95"/>
      <c r="TV33" s="95"/>
      <c r="TW33" s="95"/>
      <c r="TX33" s="95"/>
      <c r="TY33" s="95"/>
      <c r="TZ33" s="95">
        <f t="shared" si="317"/>
        <v>2.5</v>
      </c>
      <c r="UA33" s="95">
        <f t="shared" si="318"/>
        <v>0.64151999999999998</v>
      </c>
      <c r="UB33" s="90">
        <v>0</v>
      </c>
      <c r="UC33" s="90">
        <f t="shared" si="319"/>
        <v>0</v>
      </c>
      <c r="UD33" s="90">
        <f t="shared" si="320"/>
        <v>0</v>
      </c>
      <c r="UE33" s="90">
        <f t="shared" si="321"/>
        <v>0</v>
      </c>
      <c r="UF33" s="90">
        <f t="shared" si="322"/>
        <v>10968.534</v>
      </c>
      <c r="UG33" s="91">
        <f t="shared" si="323"/>
        <v>0</v>
      </c>
      <c r="UH33" s="95">
        <f t="shared" si="324"/>
        <v>39.12642883725389</v>
      </c>
      <c r="UI33" s="95">
        <f t="shared" si="325"/>
        <v>10968.534</v>
      </c>
      <c r="UJ33" s="101">
        <f t="shared" si="326"/>
        <v>0</v>
      </c>
      <c r="UK33" s="101">
        <f t="shared" si="327"/>
        <v>39.12642883725389</v>
      </c>
      <c r="UL33" s="90" t="e">
        <f>(#REF!+#REF!+HZ33+LT33+LZ33+MF33+ML33+QL33+QN33+SN33+TC33+TM33+UC33)/I33</f>
        <v>#REF!</v>
      </c>
      <c r="UN33" s="90" t="e">
        <f>#REF!/I33</f>
        <v>#REF!</v>
      </c>
      <c r="UO33" s="90" t="e">
        <f>#REF!/I33</f>
        <v>#REF!</v>
      </c>
      <c r="UP33" s="90">
        <v>1.1499999999999999</v>
      </c>
      <c r="UQ33" s="90" t="e">
        <f t="shared" si="328"/>
        <v>#REF!</v>
      </c>
      <c r="UR33" s="90">
        <f t="shared" si="329"/>
        <v>7485.8099999999995</v>
      </c>
      <c r="US33" s="90">
        <f t="shared" si="330"/>
        <v>9293.74</v>
      </c>
      <c r="UT33" s="90">
        <f t="shared" si="331"/>
        <v>9293.74</v>
      </c>
      <c r="UU33" s="90">
        <f t="shared" si="516"/>
        <v>9639.7999999999993</v>
      </c>
      <c r="UV33" s="90">
        <f t="shared" si="333"/>
        <v>9540.8966666666656</v>
      </c>
      <c r="UW33" s="90">
        <f t="shared" si="334"/>
        <v>5.6099999999999994</v>
      </c>
      <c r="UX33" s="90">
        <f t="shared" si="335"/>
        <v>3.92</v>
      </c>
      <c r="UY33" s="90">
        <f t="shared" si="336"/>
        <v>3.8019274225707829</v>
      </c>
      <c r="UZ33" s="100">
        <f t="shared" si="337"/>
        <v>3.5511981479999997</v>
      </c>
      <c r="VA33" s="90">
        <f t="shared" si="338"/>
        <v>0.6</v>
      </c>
      <c r="VB33" s="90">
        <f t="shared" si="339"/>
        <v>1.0900000000000001</v>
      </c>
      <c r="VC33" s="90">
        <f t="shared" si="340"/>
        <v>0</v>
      </c>
      <c r="VD33" s="90">
        <f t="shared" si="341"/>
        <v>0</v>
      </c>
      <c r="VE33" s="90">
        <f t="shared" si="342"/>
        <v>0</v>
      </c>
      <c r="VF33" s="90">
        <f t="shared" si="343"/>
        <v>0</v>
      </c>
      <c r="VG33" s="90">
        <f t="shared" si="344"/>
        <v>0</v>
      </c>
      <c r="VH33" s="90">
        <f t="shared" si="345"/>
        <v>0</v>
      </c>
      <c r="VI33" s="90">
        <f t="shared" si="346"/>
        <v>0</v>
      </c>
      <c r="VJ33" s="90">
        <f t="shared" si="347"/>
        <v>0</v>
      </c>
      <c r="VK33" s="90">
        <f t="shared" si="348"/>
        <v>0.72</v>
      </c>
      <c r="VL33" s="90">
        <f t="shared" si="349"/>
        <v>3.64</v>
      </c>
      <c r="VM33" s="90">
        <f t="shared" si="350"/>
        <v>8</v>
      </c>
      <c r="VN33" s="90">
        <f t="shared" si="351"/>
        <v>0</v>
      </c>
      <c r="VO33" s="90">
        <f t="shared" si="352"/>
        <v>8</v>
      </c>
      <c r="VP33" s="97">
        <v>0</v>
      </c>
      <c r="VQ33" s="97">
        <v>8</v>
      </c>
      <c r="VR33" s="90">
        <f t="shared" si="353"/>
        <v>0.52</v>
      </c>
      <c r="VS33" s="90">
        <f t="shared" si="354"/>
        <v>0.18</v>
      </c>
      <c r="VT33" s="90">
        <v>0.11989898989898991</v>
      </c>
      <c r="VU33" s="90">
        <f t="shared" si="355"/>
        <v>0.17949999999999999</v>
      </c>
      <c r="VV33" s="90">
        <v>0.38175323599898991</v>
      </c>
      <c r="VW33" s="90">
        <f t="shared" si="356"/>
        <v>0.7</v>
      </c>
      <c r="VX33" s="90">
        <f t="shared" si="357"/>
        <v>17.95</v>
      </c>
      <c r="VY33" s="90">
        <f t="shared" si="358"/>
        <v>17.95</v>
      </c>
      <c r="VZ33" s="90">
        <f t="shared" si="359"/>
        <v>0</v>
      </c>
      <c r="WA33" s="90"/>
      <c r="WB33" s="90">
        <f t="shared" si="360"/>
        <v>17.95</v>
      </c>
      <c r="WC33" s="90">
        <f t="shared" si="361"/>
        <v>0</v>
      </c>
      <c r="WD33" s="90"/>
      <c r="WE33" s="90">
        <v>17.95</v>
      </c>
      <c r="WF33" s="90"/>
      <c r="WG33" s="90">
        <f t="shared" si="362"/>
        <v>13503.785</v>
      </c>
      <c r="WH33" s="90">
        <f t="shared" si="363"/>
        <v>13503.785</v>
      </c>
      <c r="WI33" s="90">
        <f t="shared" si="364"/>
        <v>13504.21</v>
      </c>
      <c r="WJ33" s="90">
        <f t="shared" si="365"/>
        <v>7485.8099999999995</v>
      </c>
      <c r="WK33" s="97">
        <v>6018.4</v>
      </c>
      <c r="WL33" s="97">
        <v>8</v>
      </c>
      <c r="WM33" s="90">
        <f t="shared" si="366"/>
        <v>6018.4</v>
      </c>
      <c r="WN33" s="90">
        <f t="shared" si="367"/>
        <v>8</v>
      </c>
      <c r="WO33" s="90"/>
      <c r="WP33" s="97">
        <v>17.95</v>
      </c>
      <c r="WQ33" s="90">
        <f t="shared" si="368"/>
        <v>17.95</v>
      </c>
      <c r="WR33" s="91">
        <f t="shared" si="369"/>
        <v>123.11385459533608</v>
      </c>
      <c r="WS33" s="91">
        <f t="shared" si="370"/>
        <v>159.1312056737589</v>
      </c>
      <c r="WT33" s="90">
        <f t="shared" si="371"/>
        <v>13503.79</v>
      </c>
      <c r="WU33" s="90">
        <f t="shared" si="372"/>
        <v>13504.21</v>
      </c>
      <c r="WV33" s="90">
        <f t="shared" si="373"/>
        <v>-0.41999999999825377</v>
      </c>
      <c r="WW33" s="90">
        <v>3.3</v>
      </c>
      <c r="WX33" s="90"/>
      <c r="WY33" s="90"/>
      <c r="WZ33" s="90">
        <f t="shared" si="374"/>
        <v>5.5420434343434346</v>
      </c>
      <c r="XA33" s="90">
        <v>0</v>
      </c>
      <c r="XB33" s="90">
        <f t="shared" si="375"/>
        <v>5.5420434343434346</v>
      </c>
      <c r="XC33" s="90">
        <f t="shared" si="376"/>
        <v>0.46229999999999999</v>
      </c>
      <c r="XD33" s="90">
        <f t="shared" si="377"/>
        <v>0.15565656565656566</v>
      </c>
      <c r="XE33" s="90"/>
      <c r="XF33" s="90">
        <f t="shared" si="378"/>
        <v>15.41</v>
      </c>
      <c r="XG33" s="90">
        <v>5.5915790569883868</v>
      </c>
      <c r="XH33" s="20">
        <v>14.579999999999998</v>
      </c>
      <c r="XI33" s="20">
        <v>0</v>
      </c>
      <c r="XJ33" s="20"/>
      <c r="XK33" s="20"/>
      <c r="XL33" s="20"/>
      <c r="XM33" s="20">
        <f t="shared" si="379"/>
        <v>14.579999999999998</v>
      </c>
      <c r="XN33" s="91">
        <f t="shared" si="380"/>
        <v>123.11385459533608</v>
      </c>
      <c r="XO33" s="20">
        <f t="shared" si="381"/>
        <v>14.579999999999998</v>
      </c>
      <c r="XP33" s="90">
        <f t="shared" si="382"/>
        <v>11.279999999999998</v>
      </c>
      <c r="XQ33" s="91">
        <f t="shared" si="383"/>
        <v>123.11385459533608</v>
      </c>
      <c r="XR33" s="102"/>
      <c r="XS33" s="90">
        <f t="shared" si="384"/>
        <v>3.64</v>
      </c>
      <c r="XT33" s="90">
        <f t="shared" si="385"/>
        <v>5.6099999999999994</v>
      </c>
      <c r="XU33" s="90">
        <f t="shared" si="386"/>
        <v>3.92</v>
      </c>
      <c r="XV33" s="90">
        <f t="shared" si="387"/>
        <v>0.6</v>
      </c>
      <c r="XW33" s="90">
        <f t="shared" si="388"/>
        <v>0.6</v>
      </c>
      <c r="XX33" s="90">
        <f t="shared" si="389"/>
        <v>0</v>
      </c>
      <c r="XY33" s="90">
        <f t="shared" si="390"/>
        <v>1.0900000000000001</v>
      </c>
      <c r="XZ33" s="90">
        <f t="shared" si="391"/>
        <v>0</v>
      </c>
      <c r="YA33" s="90">
        <f t="shared" si="392"/>
        <v>0</v>
      </c>
      <c r="YB33" s="90">
        <f t="shared" si="537"/>
        <v>0</v>
      </c>
      <c r="YC33" s="90">
        <f t="shared" si="537"/>
        <v>0</v>
      </c>
      <c r="YD33" s="90">
        <f t="shared" si="394"/>
        <v>1.0900000000000001</v>
      </c>
      <c r="YE33" s="90">
        <f t="shared" si="395"/>
        <v>8</v>
      </c>
      <c r="YF33" s="90">
        <f t="shared" si="396"/>
        <v>0.7</v>
      </c>
      <c r="YG33" s="90">
        <f t="shared" si="397"/>
        <v>17.95</v>
      </c>
      <c r="YI33" s="103" t="s">
        <v>462</v>
      </c>
      <c r="YK33" s="90">
        <f t="shared" si="398"/>
        <v>1.07</v>
      </c>
      <c r="YL33" s="90">
        <f t="shared" si="538"/>
        <v>0.6</v>
      </c>
      <c r="YM33" s="90">
        <f t="shared" si="538"/>
        <v>1.0900000000000001</v>
      </c>
      <c r="YN33" s="90">
        <f t="shared" si="400"/>
        <v>3.64</v>
      </c>
      <c r="YO33" s="90">
        <f t="shared" si="401"/>
        <v>11.549999999999999</v>
      </c>
      <c r="YP33" s="90">
        <f t="shared" si="402"/>
        <v>0</v>
      </c>
      <c r="YQ33" s="90">
        <f t="shared" si="403"/>
        <v>17.95</v>
      </c>
      <c r="YR33" s="90">
        <f t="shared" si="404"/>
        <v>0</v>
      </c>
      <c r="YS33" s="104">
        <f t="shared" si="405"/>
        <v>17.95</v>
      </c>
      <c r="YT33" s="104">
        <f t="shared" si="406"/>
        <v>0</v>
      </c>
      <c r="YY33" s="90">
        <f t="shared" si="407"/>
        <v>7.379999999999999</v>
      </c>
      <c r="YZ33" s="90">
        <f t="shared" si="408"/>
        <v>4.18</v>
      </c>
      <c r="ZA33" s="90">
        <f t="shared" si="409"/>
        <v>0.64</v>
      </c>
      <c r="ZB33" s="90">
        <f t="shared" si="410"/>
        <v>2.56</v>
      </c>
      <c r="ZC33" s="90">
        <f t="shared" si="411"/>
        <v>0</v>
      </c>
      <c r="ZD33" s="90">
        <f t="shared" si="412"/>
        <v>0</v>
      </c>
      <c r="ZE33" s="90">
        <f t="shared" si="413"/>
        <v>0</v>
      </c>
      <c r="ZF33" s="90">
        <f t="shared" si="414"/>
        <v>0</v>
      </c>
      <c r="ZG33" s="90">
        <f t="shared" si="415"/>
        <v>0</v>
      </c>
      <c r="ZH33" s="90">
        <f t="shared" si="416"/>
        <v>0</v>
      </c>
      <c r="ZI33" s="90">
        <f t="shared" si="417"/>
        <v>0</v>
      </c>
      <c r="ZJ33" s="90">
        <f t="shared" si="418"/>
        <v>0</v>
      </c>
      <c r="ZK33" s="90">
        <f t="shared" si="419"/>
        <v>0</v>
      </c>
      <c r="ZL33" s="90">
        <f t="shared" si="420"/>
        <v>0.02</v>
      </c>
      <c r="ZM33" s="90">
        <f t="shared" si="421"/>
        <v>4.1100000000000003</v>
      </c>
      <c r="ZN33" s="90">
        <f t="shared" si="422"/>
        <v>11.56</v>
      </c>
      <c r="ZO33" s="90">
        <f t="shared" si="423"/>
        <v>9.09</v>
      </c>
      <c r="ZP33" s="90">
        <f t="shared" si="424"/>
        <v>9</v>
      </c>
      <c r="ZQ33" s="90">
        <f t="shared" si="425"/>
        <v>0</v>
      </c>
      <c r="ZR33" s="90">
        <f t="shared" si="426"/>
        <v>9</v>
      </c>
      <c r="ZS33" s="97">
        <v>227</v>
      </c>
      <c r="ZT33" s="97">
        <v>230.38</v>
      </c>
      <c r="ZU33" s="90">
        <f t="shared" si="427"/>
        <v>0.64</v>
      </c>
      <c r="ZV33" s="90">
        <f t="shared" si="428"/>
        <v>0.22</v>
      </c>
      <c r="ZW33" s="90">
        <v>0.11989898989898991</v>
      </c>
      <c r="ZX33" s="90">
        <f t="shared" si="429"/>
        <v>0.2135</v>
      </c>
      <c r="ZY33" s="90">
        <v>0.38175323599898991</v>
      </c>
      <c r="ZZ33" s="90">
        <f t="shared" si="430"/>
        <v>0.86</v>
      </c>
      <c r="AAA33" s="90">
        <f t="shared" si="431"/>
        <v>21.349999999999998</v>
      </c>
      <c r="AAB33" s="90">
        <f t="shared" si="432"/>
        <v>21.349999999999998</v>
      </c>
      <c r="AAC33" s="90">
        <f t="shared" si="433"/>
        <v>0</v>
      </c>
      <c r="AAD33" s="90"/>
      <c r="AAE33" s="90">
        <f t="shared" si="434"/>
        <v>21.349999999999998</v>
      </c>
      <c r="AAF33" s="90">
        <v>17.95</v>
      </c>
      <c r="AAG33" s="90">
        <f t="shared" si="435"/>
        <v>118.94150417827298</v>
      </c>
      <c r="AAH33" s="90">
        <f t="shared" si="436"/>
        <v>0</v>
      </c>
      <c r="AAI33" s="90">
        <v>0</v>
      </c>
      <c r="AAJ33" s="90"/>
      <c r="AAK33" s="1">
        <v>19.059999999999999</v>
      </c>
      <c r="AAL33" s="104">
        <f t="shared" si="437"/>
        <v>2.2899999999999991</v>
      </c>
      <c r="AAM33" s="103" t="s">
        <v>509</v>
      </c>
      <c r="AAN33" s="105">
        <v>7.41</v>
      </c>
      <c r="AAO33" s="90">
        <f t="shared" si="438"/>
        <v>8.17</v>
      </c>
      <c r="AAP33" s="90">
        <v>4.21</v>
      </c>
      <c r="AAQ33" s="90">
        <f t="shared" si="439"/>
        <v>4.18</v>
      </c>
      <c r="AAR33" s="90">
        <v>0.64</v>
      </c>
      <c r="AAS33" s="90">
        <f t="shared" si="440"/>
        <v>0.97</v>
      </c>
      <c r="AAT33" s="90">
        <f t="shared" si="441"/>
        <v>151.5625</v>
      </c>
      <c r="AAU33" s="90">
        <v>2.56</v>
      </c>
      <c r="AAV33" s="90">
        <f t="shared" si="442"/>
        <v>2.56</v>
      </c>
      <c r="AAW33" s="90">
        <f t="shared" si="443"/>
        <v>100</v>
      </c>
      <c r="AAX33" s="90">
        <f t="shared" si="444"/>
        <v>0.46</v>
      </c>
      <c r="AAY33" s="90">
        <f t="shared" si="445"/>
        <v>0</v>
      </c>
      <c r="AAZ33" s="90">
        <f t="shared" si="446"/>
        <v>0</v>
      </c>
      <c r="ABA33" s="90">
        <f t="shared" si="447"/>
        <v>0</v>
      </c>
      <c r="ABB33" s="90">
        <f t="shared" si="448"/>
        <v>0</v>
      </c>
      <c r="ABC33" s="90">
        <v>0</v>
      </c>
      <c r="ABD33" s="90">
        <f t="shared" si="449"/>
        <v>0</v>
      </c>
      <c r="ABE33" s="90"/>
      <c r="ABF33" s="90">
        <v>0</v>
      </c>
      <c r="ABG33" s="90">
        <f t="shared" si="450"/>
        <v>0</v>
      </c>
      <c r="ABH33" s="90"/>
      <c r="ABI33" s="90">
        <f t="shared" si="451"/>
        <v>0</v>
      </c>
      <c r="ABJ33" s="90">
        <f t="shared" si="452"/>
        <v>0</v>
      </c>
      <c r="ABK33" s="90">
        <v>0</v>
      </c>
      <c r="ABL33" s="90">
        <f t="shared" si="453"/>
        <v>0</v>
      </c>
      <c r="ABM33" s="90">
        <f t="shared" si="454"/>
        <v>0</v>
      </c>
      <c r="ABN33" s="90">
        <f t="shared" si="455"/>
        <v>0.02</v>
      </c>
      <c r="ABO33" s="90">
        <v>3.91</v>
      </c>
      <c r="ABP33" s="90">
        <f t="shared" si="456"/>
        <v>4.1100000000000003</v>
      </c>
      <c r="ABQ33" s="90">
        <f t="shared" si="457"/>
        <v>105.1150895140665</v>
      </c>
      <c r="ABR33" s="90">
        <f t="shared" si="458"/>
        <v>11.56</v>
      </c>
      <c r="ABS33" s="90">
        <f t="shared" si="459"/>
        <v>9.09</v>
      </c>
      <c r="ABT33" s="90">
        <v>7</v>
      </c>
      <c r="ABU33" s="90">
        <f t="shared" si="460"/>
        <v>9</v>
      </c>
      <c r="ABV33" s="90">
        <f t="shared" si="461"/>
        <v>128.57142857142858</v>
      </c>
      <c r="ABW33" s="90">
        <f t="shared" si="462"/>
        <v>0</v>
      </c>
      <c r="ABX33" s="90">
        <f t="shared" si="463"/>
        <v>9</v>
      </c>
      <c r="ABY33" s="97">
        <v>227</v>
      </c>
      <c r="ABZ33" s="97">
        <v>230.38</v>
      </c>
      <c r="ACA33" s="90">
        <f t="shared" si="464"/>
        <v>0.64</v>
      </c>
      <c r="ACB33" s="90">
        <f t="shared" si="465"/>
        <v>0.22</v>
      </c>
      <c r="ACC33" s="90">
        <v>0.11989898989898991</v>
      </c>
      <c r="ACD33" s="90">
        <f t="shared" si="466"/>
        <v>0.21679999999999999</v>
      </c>
      <c r="ACE33" s="90">
        <v>0.38175323599898991</v>
      </c>
      <c r="ACF33" s="90">
        <v>0.74</v>
      </c>
      <c r="ACG33" s="90">
        <f t="shared" si="467"/>
        <v>0.86</v>
      </c>
      <c r="ACH33" s="90">
        <f t="shared" si="468"/>
        <v>116.21621621621621</v>
      </c>
      <c r="ACI33" s="90">
        <f t="shared" si="469"/>
        <v>22.14</v>
      </c>
      <c r="ACJ33" s="90">
        <f t="shared" si="470"/>
        <v>21.68</v>
      </c>
      <c r="ACK33" s="90">
        <f t="shared" si="471"/>
        <v>-0.46000000000000085</v>
      </c>
      <c r="ACL33" s="90"/>
      <c r="ACM33" s="90">
        <f t="shared" si="472"/>
        <v>22.14</v>
      </c>
      <c r="ACN33" s="90">
        <f t="shared" si="473"/>
        <v>0</v>
      </c>
      <c r="ACO33" s="90">
        <f t="shared" si="474"/>
        <v>22.14</v>
      </c>
      <c r="ACP33" s="90">
        <v>19.059999999999999</v>
      </c>
      <c r="ACQ33" s="90">
        <f t="shared" si="475"/>
        <v>116.1594963273872</v>
      </c>
      <c r="ACR33" s="90">
        <f t="shared" si="476"/>
        <v>0</v>
      </c>
      <c r="ACS33" s="90">
        <v>0</v>
      </c>
      <c r="ACT33" s="90"/>
      <c r="ACU33" s="90">
        <f t="shared" si="477"/>
        <v>20.032059999999998</v>
      </c>
      <c r="ACV33" s="90">
        <f t="shared" si="478"/>
        <v>-2.1079400000000028</v>
      </c>
      <c r="ACX33" s="106" t="s">
        <v>510</v>
      </c>
      <c r="ACY33" s="107">
        <v>70000</v>
      </c>
      <c r="ACZ33" s="107">
        <v>70000</v>
      </c>
      <c r="ADB33" s="90">
        <f t="shared" si="479"/>
        <v>4.1100000000000003</v>
      </c>
      <c r="ADC33" s="90">
        <f t="shared" si="480"/>
        <v>8.17</v>
      </c>
      <c r="ADD33" s="90">
        <f t="shared" si="481"/>
        <v>4.18</v>
      </c>
      <c r="ADE33" s="90">
        <f t="shared" si="517"/>
        <v>1.43</v>
      </c>
      <c r="ADF33" s="90">
        <f t="shared" si="483"/>
        <v>0.97</v>
      </c>
      <c r="ADG33" s="90">
        <f t="shared" si="539"/>
        <v>0.46</v>
      </c>
      <c r="ADH33" s="90">
        <f t="shared" si="539"/>
        <v>0</v>
      </c>
      <c r="ADI33" s="90">
        <f t="shared" si="539"/>
        <v>0</v>
      </c>
      <c r="ADJ33" s="90">
        <f t="shared" si="485"/>
        <v>2.56</v>
      </c>
      <c r="ADK33" s="90">
        <f t="shared" si="486"/>
        <v>0</v>
      </c>
      <c r="ADL33" s="90">
        <f t="shared" si="487"/>
        <v>0</v>
      </c>
      <c r="ADM33" s="90">
        <f t="shared" si="540"/>
        <v>0</v>
      </c>
      <c r="ADN33" s="90">
        <f t="shared" si="540"/>
        <v>0</v>
      </c>
      <c r="ADO33" s="90">
        <f t="shared" si="489"/>
        <v>2.56</v>
      </c>
      <c r="ADP33" s="90">
        <f t="shared" si="490"/>
        <v>9</v>
      </c>
      <c r="ADQ33" s="90">
        <f t="shared" si="491"/>
        <v>0.86</v>
      </c>
      <c r="ADR33" s="90">
        <f t="shared" si="492"/>
        <v>22.14</v>
      </c>
      <c r="ADU33" s="90">
        <f t="shared" si="493"/>
        <v>1.1499999999999999</v>
      </c>
      <c r="ADV33" s="90">
        <f t="shared" si="494"/>
        <v>0.97</v>
      </c>
      <c r="ADW33" s="90">
        <f t="shared" si="495"/>
        <v>2.56</v>
      </c>
      <c r="ADX33" s="90">
        <f t="shared" si="496"/>
        <v>4.1100000000000003</v>
      </c>
      <c r="ADY33" s="90">
        <f t="shared" si="497"/>
        <v>12.889999999999999</v>
      </c>
      <c r="ADZ33" s="90">
        <f t="shared" si="498"/>
        <v>0</v>
      </c>
      <c r="AEA33" s="90">
        <f t="shared" si="499"/>
        <v>22.14</v>
      </c>
      <c r="AEB33" s="90">
        <f t="shared" si="500"/>
        <v>0</v>
      </c>
      <c r="AEC33" s="104">
        <f t="shared" si="501"/>
        <v>21.68</v>
      </c>
      <c r="AED33" s="104">
        <f t="shared" si="502"/>
        <v>0.46000000000000085</v>
      </c>
      <c r="AEG33" s="1">
        <v>7.41</v>
      </c>
      <c r="AEH33" s="1">
        <v>4.21</v>
      </c>
      <c r="AEI33" s="1">
        <v>0.64</v>
      </c>
      <c r="AEJ33" s="1">
        <v>2.56</v>
      </c>
      <c r="AEK33" s="1">
        <v>0</v>
      </c>
      <c r="AEL33" s="1">
        <v>0</v>
      </c>
      <c r="AEM33" s="1">
        <v>0</v>
      </c>
      <c r="AEN33" s="1">
        <v>0</v>
      </c>
      <c r="AEO33" s="1">
        <v>0</v>
      </c>
      <c r="AEP33" s="1">
        <v>0</v>
      </c>
      <c r="AEQ33" s="1">
        <v>0</v>
      </c>
      <c r="AER33" s="1">
        <v>0</v>
      </c>
      <c r="AES33" s="1">
        <v>0</v>
      </c>
      <c r="AET33" s="1">
        <v>0</v>
      </c>
      <c r="AEU33" s="1">
        <v>0</v>
      </c>
      <c r="AEV33" s="1">
        <v>0.02</v>
      </c>
      <c r="AEW33" s="1">
        <v>3.91</v>
      </c>
      <c r="AEX33" s="1">
        <v>9.56</v>
      </c>
      <c r="AEY33" s="1">
        <v>9.09</v>
      </c>
      <c r="AEZ33" s="1">
        <v>7</v>
      </c>
      <c r="AFA33" s="1">
        <v>0</v>
      </c>
      <c r="AFB33" s="1">
        <v>7</v>
      </c>
      <c r="AFC33" s="1">
        <v>227</v>
      </c>
      <c r="AFD33" s="1">
        <v>230.38</v>
      </c>
      <c r="AFE33" s="1">
        <v>0.55000000000000004</v>
      </c>
      <c r="AFF33" s="1">
        <v>0.19</v>
      </c>
      <c r="AFG33" s="1">
        <v>0.11989898989898991</v>
      </c>
      <c r="AFH33" s="1">
        <v>0.19059999999999999</v>
      </c>
      <c r="AFI33" s="1">
        <v>0.38175323599898991</v>
      </c>
      <c r="AFJ33" s="1">
        <v>0.74</v>
      </c>
      <c r="AFK33" s="1">
        <v>19.059999999999999</v>
      </c>
      <c r="AFL33" s="1">
        <v>19.059999999999999</v>
      </c>
      <c r="AFM33" s="1">
        <v>0</v>
      </c>
      <c r="AFO33" s="1">
        <v>19.059999999999999</v>
      </c>
      <c r="AFP33" s="1">
        <v>0</v>
      </c>
      <c r="AFQ33" s="1">
        <v>19.059999999999999</v>
      </c>
      <c r="AFX33" s="1">
        <v>21.84</v>
      </c>
    </row>
    <row r="34" spans="1:856" s="1" customFormat="1" ht="63.75" customHeight="1">
      <c r="A34" s="88">
        <v>26</v>
      </c>
      <c r="B34" s="20"/>
      <c r="C34" s="89" t="s">
        <v>511</v>
      </c>
      <c r="D34" s="20"/>
      <c r="E34" s="20" t="s">
        <v>437</v>
      </c>
      <c r="F34" s="20" t="s">
        <v>438</v>
      </c>
      <c r="G34" s="20">
        <v>0.8</v>
      </c>
      <c r="H34" s="20">
        <v>697.7</v>
      </c>
      <c r="I34" s="20">
        <f>697.7-0.3</f>
        <v>697.40000000000009</v>
      </c>
      <c r="J34" s="20">
        <f t="shared" si="0"/>
        <v>557.92000000000007</v>
      </c>
      <c r="K34" s="20">
        <v>16</v>
      </c>
      <c r="L34" s="20"/>
      <c r="M34" s="20"/>
      <c r="N34" s="20"/>
      <c r="O34" s="90">
        <f t="shared" si="1"/>
        <v>0</v>
      </c>
      <c r="P34" s="20"/>
      <c r="Q34" s="20"/>
      <c r="R34" s="90">
        <f t="shared" si="2"/>
        <v>0</v>
      </c>
      <c r="S34" s="20">
        <v>63.2</v>
      </c>
      <c r="T34" s="20">
        <v>2.6</v>
      </c>
      <c r="U34" s="20">
        <v>3.13</v>
      </c>
      <c r="V34" s="91">
        <f t="shared" si="3"/>
        <v>514.32000000000005</v>
      </c>
      <c r="W34" s="20">
        <v>2.1000000000000001E-2</v>
      </c>
      <c r="X34" s="20">
        <f t="shared" si="4"/>
        <v>33.42</v>
      </c>
      <c r="Y34" s="91">
        <f t="shared" si="5"/>
        <v>44.36</v>
      </c>
      <c r="Z34" s="20"/>
      <c r="AA34" s="20"/>
      <c r="AB34" s="20"/>
      <c r="AC34" s="91">
        <f t="shared" si="6"/>
        <v>558.67999999999995</v>
      </c>
      <c r="AD34" s="90">
        <f t="shared" si="7"/>
        <v>0.8</v>
      </c>
      <c r="AE34" s="92">
        <f t="shared" si="8"/>
        <v>6704.16</v>
      </c>
      <c r="AF34" s="20">
        <v>40</v>
      </c>
      <c r="AG34" s="20">
        <v>39</v>
      </c>
      <c r="AH34" s="20">
        <v>39</v>
      </c>
      <c r="AI34" s="20">
        <v>38</v>
      </c>
      <c r="AJ34" s="20">
        <v>1.6</v>
      </c>
      <c r="AK34" s="90">
        <f t="shared" si="9"/>
        <v>5.2</v>
      </c>
      <c r="AL34" s="90">
        <v>391.01</v>
      </c>
      <c r="AM34" s="90">
        <f t="shared" si="10"/>
        <v>2033.25</v>
      </c>
      <c r="AN34" s="20">
        <v>41</v>
      </c>
      <c r="AO34" s="20">
        <v>40</v>
      </c>
      <c r="AP34" s="20">
        <v>40</v>
      </c>
      <c r="AQ34" s="20">
        <v>41</v>
      </c>
      <c r="AR34" s="20">
        <v>40</v>
      </c>
      <c r="AS34" s="20">
        <v>41</v>
      </c>
      <c r="AT34" s="20">
        <f t="shared" si="11"/>
        <v>1</v>
      </c>
      <c r="AU34" s="20">
        <v>1.6</v>
      </c>
      <c r="AV34" s="90">
        <f t="shared" si="12"/>
        <v>5.33</v>
      </c>
      <c r="AW34" s="90">
        <f>ROUND((179.74*6+181.82*6)/12,2)</f>
        <v>180.78</v>
      </c>
      <c r="AX34" s="90">
        <v>988.26</v>
      </c>
      <c r="AY34" s="90">
        <f t="shared" si="14"/>
        <v>1.42</v>
      </c>
      <c r="AZ34" s="90">
        <f t="shared" si="15"/>
        <v>2085.39</v>
      </c>
      <c r="BA34" s="90">
        <f t="shared" si="16"/>
        <v>-1097.1299999999999</v>
      </c>
      <c r="BB34" s="90">
        <v>988.26</v>
      </c>
      <c r="BC34" s="90">
        <v>1.42</v>
      </c>
      <c r="BD34" s="92">
        <f t="shared" si="17"/>
        <v>11859.119999999999</v>
      </c>
      <c r="BE34" s="90"/>
      <c r="BF34" s="90">
        <f t="shared" si="18"/>
        <v>0</v>
      </c>
      <c r="BG34" s="90">
        <v>391.01</v>
      </c>
      <c r="BH34" s="90">
        <f t="shared" si="19"/>
        <v>2084.08</v>
      </c>
      <c r="BI34" s="90">
        <f t="shared" si="20"/>
        <v>2.99</v>
      </c>
      <c r="BJ34" s="90">
        <f t="shared" si="21"/>
        <v>210.56338028169014</v>
      </c>
      <c r="BK34" s="90">
        <f t="shared" si="22"/>
        <v>2084.08</v>
      </c>
      <c r="BL34" s="90">
        <f t="shared" si="23"/>
        <v>2.99</v>
      </c>
      <c r="BM34" s="90"/>
      <c r="BN34" s="90">
        <f t="shared" si="24"/>
        <v>0</v>
      </c>
      <c r="BO34" s="90">
        <f t="shared" si="25"/>
        <v>2084.08</v>
      </c>
      <c r="BP34" s="90">
        <f t="shared" si="26"/>
        <v>2.9883567536564377</v>
      </c>
      <c r="BQ34" s="90"/>
      <c r="BR34" s="90">
        <f t="shared" si="27"/>
        <v>0</v>
      </c>
      <c r="BS34" s="90">
        <f t="shared" si="28"/>
        <v>2084.08</v>
      </c>
      <c r="BT34" s="90">
        <f t="shared" si="29"/>
        <v>2.9883567536564377</v>
      </c>
      <c r="BU34" s="90"/>
      <c r="BV34" s="93">
        <v>1.4356370000000001</v>
      </c>
      <c r="BW34" s="90">
        <f t="shared" si="30"/>
        <v>1001.2132438000002</v>
      </c>
      <c r="BX34" s="90">
        <f t="shared" si="31"/>
        <v>1061.2860384280002</v>
      </c>
      <c r="BY34" s="90"/>
      <c r="BZ34" s="90"/>
      <c r="CA34" s="90">
        <v>0.2651</v>
      </c>
      <c r="CB34" s="90">
        <f t="shared" si="542"/>
        <v>184.88074000000003</v>
      </c>
      <c r="CC34" s="90">
        <v>0.71072749999999996</v>
      </c>
      <c r="CD34" s="90">
        <f t="shared" si="33"/>
        <v>131.39982613835002</v>
      </c>
      <c r="CE34" s="90">
        <f t="shared" si="34"/>
        <v>198.68988051562738</v>
      </c>
      <c r="CF34" s="90">
        <v>194.05246844147663</v>
      </c>
      <c r="CG34" s="90">
        <f>I34*0.278131673</f>
        <v>193.96902875020004</v>
      </c>
      <c r="CH34" s="90">
        <f t="shared" si="35"/>
        <v>203.28</v>
      </c>
      <c r="CI34" s="90">
        <f t="shared" si="524"/>
        <v>213.34422929196381</v>
      </c>
      <c r="CJ34" s="90">
        <f t="shared" si="36"/>
        <v>214.46</v>
      </c>
      <c r="CK34" s="90">
        <f t="shared" si="37"/>
        <v>226.81815875764977</v>
      </c>
      <c r="CL34" s="90">
        <f t="shared" si="38"/>
        <v>226.81815875764977</v>
      </c>
      <c r="CM34" s="94">
        <v>0.14899999999999999</v>
      </c>
      <c r="CN34" s="90">
        <f t="shared" si="39"/>
        <v>149.18077332620001</v>
      </c>
      <c r="CO34" s="90">
        <f t="shared" si="40"/>
        <v>158.13161972577203</v>
      </c>
      <c r="CP34" s="90"/>
      <c r="CQ34" s="90">
        <v>3.9539251999999997E-2</v>
      </c>
      <c r="CR34" s="90">
        <f t="shared" si="543"/>
        <v>27.574674344800002</v>
      </c>
      <c r="CS34" s="90">
        <v>0.71072749999999996</v>
      </c>
      <c r="CT34" s="90">
        <f t="shared" si="42"/>
        <v>19.598079360393843</v>
      </c>
      <c r="CU34" s="90">
        <f t="shared" si="43"/>
        <v>29.634286139408822</v>
      </c>
      <c r="CV34" s="90">
        <f>I34*0.085943583</f>
        <v>59.937054784200008</v>
      </c>
      <c r="CW34" s="90">
        <f t="shared" si="44"/>
        <v>62.81</v>
      </c>
      <c r="CX34" s="90">
        <f t="shared" si="525"/>
        <v>65.919672578848136</v>
      </c>
      <c r="CY34" s="90">
        <f t="shared" si="45"/>
        <v>66.260000000000005</v>
      </c>
      <c r="CZ34" s="90">
        <f t="shared" si="46"/>
        <v>70.082883468949149</v>
      </c>
      <c r="DA34" s="90">
        <f t="shared" si="47"/>
        <v>70.082883468949149</v>
      </c>
      <c r="DB34" s="93">
        <v>1.4169099999999999</v>
      </c>
      <c r="DC34" s="90">
        <f t="shared" si="48"/>
        <v>988.15303400000005</v>
      </c>
      <c r="DD34" s="90">
        <f t="shared" si="49"/>
        <v>1047.4422160400002</v>
      </c>
      <c r="DE34" s="90"/>
      <c r="DF34" s="90"/>
      <c r="DG34" s="90">
        <v>0.16261500000000001</v>
      </c>
      <c r="DH34" s="90">
        <f t="shared" si="544"/>
        <v>113.40770100000002</v>
      </c>
      <c r="DI34" s="90">
        <v>0.71072749999999996</v>
      </c>
      <c r="DJ34" s="90">
        <f t="shared" si="51"/>
        <v>80.601971812477501</v>
      </c>
      <c r="DK34" s="90">
        <f t="shared" si="52"/>
        <v>121.87836635250372</v>
      </c>
      <c r="DL34" s="90">
        <f>I34*0.138251926</f>
        <v>96.416893192400011</v>
      </c>
      <c r="DM34" s="90">
        <f t="shared" si="53"/>
        <v>101.04</v>
      </c>
      <c r="DN34" s="90">
        <f t="shared" si="526"/>
        <v>106.04240912859125</v>
      </c>
      <c r="DO34" s="90">
        <f t="shared" si="54"/>
        <v>106.6</v>
      </c>
      <c r="DP34" s="90">
        <f t="shared" si="55"/>
        <v>112.739604293944</v>
      </c>
      <c r="DQ34" s="90">
        <f t="shared" si="56"/>
        <v>112.739604293944</v>
      </c>
      <c r="DR34" s="93">
        <v>5.6880149999999997E-2</v>
      </c>
      <c r="DS34" s="90">
        <f t="shared" si="57"/>
        <v>39.668216610000002</v>
      </c>
      <c r="DT34" s="90">
        <f t="shared" si="58"/>
        <v>42.048309606600007</v>
      </c>
      <c r="DU34" s="90"/>
      <c r="DV34" s="90">
        <v>6.1506E-3</v>
      </c>
      <c r="DW34" s="90">
        <f t="shared" si="545"/>
        <v>4.2894284400000009</v>
      </c>
      <c r="DX34" s="90">
        <v>0.71072749999999996</v>
      </c>
      <c r="DY34" s="90">
        <f t="shared" si="60"/>
        <v>3.0486147515901005</v>
      </c>
      <c r="DZ34" s="90">
        <f t="shared" si="61"/>
        <v>4.6098150852486519</v>
      </c>
      <c r="EA34" s="90">
        <f t="shared" si="62"/>
        <v>4.83</v>
      </c>
      <c r="EB34" s="90">
        <f t="shared" si="527"/>
        <v>5.0691294149950084</v>
      </c>
      <c r="EC34" s="90">
        <f t="shared" si="63"/>
        <v>5.0999999999999996</v>
      </c>
      <c r="ED34" s="90">
        <f t="shared" si="64"/>
        <v>5.3892744332912654</v>
      </c>
      <c r="EE34" s="90">
        <f t="shared" si="65"/>
        <v>5.3892744332912654</v>
      </c>
      <c r="EF34" s="94">
        <v>0.85293354333000004</v>
      </c>
      <c r="EG34" s="90">
        <f t="shared" si="66"/>
        <v>475.86868249467369</v>
      </c>
      <c r="EH34" s="90">
        <f t="shared" si="67"/>
        <v>504.42080344435414</v>
      </c>
      <c r="EI34" s="90"/>
      <c r="EJ34" s="90">
        <v>0.58975</v>
      </c>
      <c r="EK34" s="90">
        <f t="shared" si="68"/>
        <v>329.03332000000006</v>
      </c>
      <c r="EL34" s="90">
        <v>0.71072749999999996</v>
      </c>
      <c r="EM34" s="90">
        <f t="shared" si="69"/>
        <v>233.85302894030002</v>
      </c>
      <c r="EN34" s="90">
        <f t="shared" si="70"/>
        <v>353.6095270738324</v>
      </c>
      <c r="EO34" s="90">
        <f>J34*0.618109699</f>
        <v>344.85576326608003</v>
      </c>
      <c r="EP34" s="90">
        <f t="shared" si="71"/>
        <v>361.41</v>
      </c>
      <c r="EQ34" s="90">
        <f t="shared" si="528"/>
        <v>379.30311840027866</v>
      </c>
      <c r="ER34" s="90">
        <f t="shared" si="72"/>
        <v>381.29</v>
      </c>
      <c r="ES34" s="90">
        <f t="shared" si="73"/>
        <v>403.25831737801167</v>
      </c>
      <c r="ET34" s="90">
        <f t="shared" si="74"/>
        <v>403.25831737801167</v>
      </c>
      <c r="EU34" s="94">
        <v>0.14899999999999999</v>
      </c>
      <c r="EV34" s="90">
        <f t="shared" si="75"/>
        <v>70.904433691706373</v>
      </c>
      <c r="EW34" s="90">
        <f t="shared" si="76"/>
        <v>75.158699713208762</v>
      </c>
      <c r="EX34" s="90"/>
      <c r="EY34" s="90">
        <v>8.7870000000000004E-2</v>
      </c>
      <c r="EZ34" s="90">
        <f t="shared" si="77"/>
        <v>49.024430400000007</v>
      </c>
      <c r="FA34" s="90">
        <v>0.71072749999999996</v>
      </c>
      <c r="FB34" s="90">
        <f t="shared" si="78"/>
        <v>34.843010857116006</v>
      </c>
      <c r="FC34" s="90">
        <f t="shared" si="79"/>
        <v>52.686170655324553</v>
      </c>
      <c r="FD34" s="90">
        <f>J34*0.191129561</f>
        <v>106.63500467312002</v>
      </c>
      <c r="FE34" s="90">
        <f t="shared" si="80"/>
        <v>111.75</v>
      </c>
      <c r="FF34" s="90">
        <f t="shared" si="529"/>
        <v>117.28265261401495</v>
      </c>
      <c r="FG34" s="90">
        <f t="shared" si="81"/>
        <v>117.9</v>
      </c>
      <c r="FH34" s="90">
        <f t="shared" si="82"/>
        <v>124.68973455906811</v>
      </c>
      <c r="FI34" s="90">
        <f t="shared" si="83"/>
        <v>124.68973455906811</v>
      </c>
      <c r="FJ34" s="93">
        <v>0.49981642240000002</v>
      </c>
      <c r="FK34" s="90">
        <f t="shared" si="84"/>
        <v>278.85757838540803</v>
      </c>
      <c r="FL34" s="90">
        <f t="shared" si="85"/>
        <v>295.58903308853252</v>
      </c>
      <c r="FM34" s="90"/>
      <c r="FN34" s="90">
        <v>0.35812500000000003</v>
      </c>
      <c r="FO34" s="90">
        <f t="shared" si="86"/>
        <v>199.80510000000004</v>
      </c>
      <c r="FP34" s="90">
        <v>0.71072749999999996</v>
      </c>
      <c r="FQ34" s="90">
        <f t="shared" si="87"/>
        <v>142.00697921025002</v>
      </c>
      <c r="FR34" s="90">
        <f t="shared" si="88"/>
        <v>214.72897309591568</v>
      </c>
      <c r="FS34" s="90">
        <f>J34*0.303398168</f>
        <v>169.27190589056005</v>
      </c>
      <c r="FT34" s="90">
        <f t="shared" si="89"/>
        <v>177.4</v>
      </c>
      <c r="FU34" s="90">
        <f>J34*0.303651882</f>
        <v>169.41345800544002</v>
      </c>
      <c r="FV34" s="90">
        <f t="shared" si="90"/>
        <v>177.55</v>
      </c>
      <c r="FW34" s="90">
        <f t="shared" si="530"/>
        <v>186.34035768786001</v>
      </c>
      <c r="FX34" s="90">
        <f t="shared" si="91"/>
        <v>187.32</v>
      </c>
      <c r="FY34" s="90">
        <f t="shared" si="92"/>
        <v>198.10883553434044</v>
      </c>
      <c r="FZ34" s="90">
        <f t="shared" si="93"/>
        <v>198.10883553434044</v>
      </c>
      <c r="GA34" s="94">
        <v>1.352261642E-2</v>
      </c>
      <c r="GB34" s="90">
        <f t="shared" si="94"/>
        <v>7.5445381530464006</v>
      </c>
      <c r="GC34" s="90">
        <f t="shared" si="95"/>
        <v>7.9972104422291848</v>
      </c>
      <c r="GD34" s="90"/>
      <c r="GE34" s="90">
        <v>1.0749999999999999E-2</v>
      </c>
      <c r="GF34" s="90">
        <f t="shared" si="96"/>
        <v>5.9976400000000005</v>
      </c>
      <c r="GG34" s="90">
        <v>0.71072749999999996</v>
      </c>
      <c r="GH34" s="90">
        <f t="shared" si="97"/>
        <v>4.2626876831000002</v>
      </c>
      <c r="GI34" s="90">
        <f t="shared" si="98"/>
        <v>6.4456166444149199</v>
      </c>
      <c r="GJ34" s="90">
        <f t="shared" si="99"/>
        <v>6.76</v>
      </c>
      <c r="GK34" s="90">
        <f t="shared" si="531"/>
        <v>7.0946821626017096</v>
      </c>
      <c r="GL34" s="90">
        <f t="shared" si="100"/>
        <v>7.13</v>
      </c>
      <c r="GM34" s="90">
        <f t="shared" si="101"/>
        <v>7.5427526229915021</v>
      </c>
      <c r="GN34" s="90">
        <f t="shared" si="102"/>
        <v>7.5427526229915021</v>
      </c>
      <c r="GO34" s="90">
        <v>3198</v>
      </c>
      <c r="GP34" s="90">
        <f t="shared" si="103"/>
        <v>266.5</v>
      </c>
      <c r="GQ34" s="90">
        <f>2116.8+138.6</f>
        <v>2255.4</v>
      </c>
      <c r="GR34" s="90">
        <f t="shared" si="104"/>
        <v>187.95000000000002</v>
      </c>
      <c r="GS34" s="90">
        <f t="shared" si="105"/>
        <v>454.45000000000005</v>
      </c>
      <c r="GT34" s="90">
        <f t="shared" si="106"/>
        <v>0.65</v>
      </c>
      <c r="GU34" s="90">
        <v>3652.56</v>
      </c>
      <c r="GV34" s="90">
        <f>2006.4+132.24</f>
        <v>2138.6400000000003</v>
      </c>
      <c r="GW34" s="90">
        <f t="shared" si="107"/>
        <v>482.60000000000008</v>
      </c>
      <c r="GX34" s="90">
        <f t="shared" si="108"/>
        <v>0.69</v>
      </c>
      <c r="GY34" s="90">
        <v>6481.64</v>
      </c>
      <c r="GZ34" s="90">
        <f>2134.08+141.36</f>
        <v>2275.44</v>
      </c>
      <c r="HA34" s="90">
        <f t="shared" si="109"/>
        <v>729.75666666666666</v>
      </c>
      <c r="HB34" s="90">
        <f t="shared" si="110"/>
        <v>1.05</v>
      </c>
      <c r="HC34" s="90">
        <v>6481.64</v>
      </c>
      <c r="HD34" s="90">
        <f>2134.08+141.36</f>
        <v>2275.44</v>
      </c>
      <c r="HE34" s="90">
        <f t="shared" si="111"/>
        <v>729.75666666666666</v>
      </c>
      <c r="HF34" s="90">
        <f t="shared" si="112"/>
        <v>1.05</v>
      </c>
      <c r="HG34" s="90"/>
      <c r="HH34" s="90"/>
      <c r="HI34" s="90">
        <v>0.96</v>
      </c>
      <c r="HJ34" s="90">
        <f t="shared" si="113"/>
        <v>669.50400000000002</v>
      </c>
      <c r="HK34" s="90">
        <f t="shared" si="114"/>
        <v>1.0060797246917119</v>
      </c>
      <c r="HL34" s="90">
        <f t="shared" si="115"/>
        <v>701.64</v>
      </c>
      <c r="HM34" s="90">
        <v>1.07</v>
      </c>
      <c r="HN34" s="90">
        <f t="shared" si="116"/>
        <v>746.21800000000019</v>
      </c>
      <c r="HO34" s="90">
        <v>1.1499999999999999</v>
      </c>
      <c r="HP34" s="90">
        <f t="shared" si="117"/>
        <v>802.01</v>
      </c>
      <c r="HQ34" s="90">
        <v>1.1499999999999999</v>
      </c>
      <c r="HR34" s="90">
        <f t="shared" si="118"/>
        <v>802.01</v>
      </c>
      <c r="HS34" s="90">
        <v>0.31919999999999998</v>
      </c>
      <c r="HT34" s="90">
        <f t="shared" si="119"/>
        <v>222.61008000000001</v>
      </c>
      <c r="HU34" s="90" t="e">
        <f>HT34*#REF!</f>
        <v>#REF!</v>
      </c>
      <c r="HV34" s="90">
        <v>2.83</v>
      </c>
      <c r="HW34" s="90">
        <v>3.1</v>
      </c>
      <c r="HX34" s="90">
        <f t="shared" si="120"/>
        <v>2161.9400000000005</v>
      </c>
      <c r="HY34" s="90">
        <v>1.06</v>
      </c>
      <c r="HZ34" s="90">
        <f t="shared" si="121"/>
        <v>2291.6564000000008</v>
      </c>
      <c r="IA34" s="90">
        <f t="shared" si="122"/>
        <v>3.29</v>
      </c>
      <c r="IB34" s="90">
        <f t="shared" si="123"/>
        <v>3.45</v>
      </c>
      <c r="IC34" s="90">
        <f t="shared" si="124"/>
        <v>2406.0300000000007</v>
      </c>
      <c r="ID34" s="90">
        <f t="shared" si="125"/>
        <v>3.64</v>
      </c>
      <c r="IE34" s="90">
        <f t="shared" si="126"/>
        <v>2538.54</v>
      </c>
      <c r="IF34" s="90">
        <f t="shared" si="127"/>
        <v>3.64</v>
      </c>
      <c r="IG34" s="92">
        <f t="shared" si="128"/>
        <v>30462.48</v>
      </c>
      <c r="IH34" s="90">
        <v>3.91</v>
      </c>
      <c r="II34" s="90">
        <f t="shared" si="129"/>
        <v>4.1100000000000003</v>
      </c>
      <c r="IJ34" s="90">
        <f t="shared" si="130"/>
        <v>2866.31</v>
      </c>
      <c r="IK34" s="90">
        <f t="shared" si="131"/>
        <v>4.1100000000000003</v>
      </c>
      <c r="IL34" s="90">
        <f t="shared" si="132"/>
        <v>2866.31</v>
      </c>
      <c r="IM34" s="90">
        <f t="shared" si="133"/>
        <v>4.1100000000000003</v>
      </c>
      <c r="IN34" s="90">
        <f t="shared" si="134"/>
        <v>2866.31</v>
      </c>
      <c r="IO34" s="90">
        <f t="shared" si="135"/>
        <v>4.1100000000000003</v>
      </c>
      <c r="IP34" s="93">
        <v>0.37052404126999999</v>
      </c>
      <c r="IQ34" s="90">
        <f t="shared" si="136"/>
        <v>206.72277310535841</v>
      </c>
      <c r="IR34" s="90">
        <f t="shared" si="137"/>
        <v>219.12613949167994</v>
      </c>
      <c r="IS34" s="90">
        <v>108693.96</v>
      </c>
      <c r="IT34" s="90">
        <v>3053.33</v>
      </c>
      <c r="IU34" s="94"/>
      <c r="IV34" s="94"/>
      <c r="IW34" s="94">
        <v>1.6976249999999999</v>
      </c>
      <c r="IX34" s="90">
        <f t="shared" si="138"/>
        <v>947.13894000000005</v>
      </c>
      <c r="IY34" s="93">
        <v>0.56339614052999998</v>
      </c>
      <c r="IZ34" s="90">
        <f t="shared" si="139"/>
        <v>392.91246840562201</v>
      </c>
      <c r="JA34" s="90">
        <f t="shared" si="140"/>
        <v>411.77</v>
      </c>
      <c r="JB34" s="90">
        <f t="shared" si="532"/>
        <v>432.1564014932701</v>
      </c>
      <c r="JC34" s="90">
        <f t="shared" si="141"/>
        <v>434.42</v>
      </c>
      <c r="JD34" s="90">
        <f t="shared" si="142"/>
        <v>459.44959283568204</v>
      </c>
      <c r="JE34" s="90">
        <f t="shared" si="143"/>
        <v>459.44959283568204</v>
      </c>
      <c r="JF34" s="93">
        <v>4.2278943710000003E-2</v>
      </c>
      <c r="JG34" s="90">
        <f t="shared" si="144"/>
        <v>23.588268274683205</v>
      </c>
      <c r="JH34" s="90">
        <f t="shared" si="145"/>
        <v>25.003564371164199</v>
      </c>
      <c r="JI34" s="20">
        <v>462.98</v>
      </c>
      <c r="JJ34" s="20"/>
      <c r="JK34" s="20">
        <v>6.0624999999999998E-2</v>
      </c>
      <c r="JL34" s="90">
        <f t="shared" si="146"/>
        <v>33.823900000000002</v>
      </c>
      <c r="JM34" s="93">
        <v>6.7347080040000007E-2</v>
      </c>
      <c r="JN34" s="90">
        <f t="shared" si="147"/>
        <v>46.967853619896012</v>
      </c>
      <c r="JO34" s="90">
        <f t="shared" si="148"/>
        <v>49.22</v>
      </c>
      <c r="JP34" s="90">
        <f t="shared" si="533"/>
        <v>51.65684260994913</v>
      </c>
      <c r="JQ34" s="90">
        <f t="shared" si="149"/>
        <v>51.93</v>
      </c>
      <c r="JR34" s="90">
        <f t="shared" si="150"/>
        <v>54.919272796396704</v>
      </c>
      <c r="JS34" s="90">
        <f t="shared" si="151"/>
        <v>54.919272796396704</v>
      </c>
      <c r="JT34" s="93">
        <v>7.3220517000000002E-3</v>
      </c>
      <c r="JU34" s="90">
        <f t="shared" si="152"/>
        <v>4.0851190844640008</v>
      </c>
      <c r="JV34" s="90">
        <f t="shared" si="153"/>
        <v>4.28</v>
      </c>
      <c r="JW34" s="90">
        <f t="shared" si="534"/>
        <v>4.4918993573868811</v>
      </c>
      <c r="JX34" s="90">
        <f t="shared" si="154"/>
        <v>4.5199999999999996</v>
      </c>
      <c r="JY34" s="90">
        <f t="shared" si="155"/>
        <v>4.7755889388171049</v>
      </c>
      <c r="JZ34" s="90">
        <f t="shared" si="156"/>
        <v>4.7755889388171049</v>
      </c>
      <c r="KA34" s="90">
        <v>8.3090999999999998E-3</v>
      </c>
      <c r="KB34" s="90">
        <f t="shared" si="157"/>
        <v>4.6358130720000004</v>
      </c>
      <c r="KC34" s="90" t="e">
        <f>KB34*#REF!</f>
        <v>#REF!</v>
      </c>
      <c r="KD34" s="90">
        <v>34406.519999999997</v>
      </c>
      <c r="KE34" s="90">
        <v>40292.97</v>
      </c>
      <c r="KF34" s="90"/>
      <c r="KG34" s="90">
        <f t="shared" si="546"/>
        <v>816.71489235179865</v>
      </c>
      <c r="KH34" s="90" t="e">
        <f>KG34/(BW34+#REF!)*(CB34+#REF!)</f>
        <v>#REF!</v>
      </c>
      <c r="KI34" s="90">
        <v>0.8</v>
      </c>
      <c r="KJ34" s="94"/>
      <c r="KK34" s="90">
        <f t="shared" si="159"/>
        <v>0</v>
      </c>
      <c r="KL34" s="93">
        <v>1.2690177</v>
      </c>
      <c r="KM34" s="90">
        <f t="shared" si="160"/>
        <v>885.01294398000016</v>
      </c>
      <c r="KN34" s="90">
        <f t="shared" si="161"/>
        <v>938.11372061880024</v>
      </c>
      <c r="KO34" s="90" t="e">
        <f>BW34+CN34+DC34+DS34+EG34+EV34+FK34+GB34+#REF!+#REF!+HJ34+HX34+IQ34+JG34+JU34+KK34+KM34</f>
        <v>#REF!</v>
      </c>
      <c r="KP34" s="90"/>
      <c r="KQ34" s="90">
        <v>0.50815001599999998</v>
      </c>
      <c r="KR34" s="90">
        <f t="shared" si="514"/>
        <v>354.38382115840005</v>
      </c>
      <c r="KS34" s="90">
        <v>0.71072749999999996</v>
      </c>
      <c r="KT34" s="90">
        <f t="shared" si="163"/>
        <v>251.87032725235676</v>
      </c>
      <c r="KU34" s="90">
        <f t="shared" si="164"/>
        <v>380.85351174294277</v>
      </c>
      <c r="KV34" s="90">
        <f t="shared" si="165"/>
        <v>399.13</v>
      </c>
      <c r="KW34" s="90">
        <f t="shared" si="535"/>
        <v>418.89060526023962</v>
      </c>
      <c r="KX34" s="90">
        <f t="shared" si="166"/>
        <v>421.08</v>
      </c>
      <c r="KY34" s="90">
        <f t="shared" si="167"/>
        <v>445.34598438085771</v>
      </c>
      <c r="KZ34" s="90">
        <f t="shared" si="168"/>
        <v>445.34598438085771</v>
      </c>
      <c r="LA34" s="90">
        <f t="shared" si="169"/>
        <v>2733.81</v>
      </c>
      <c r="LB34" s="90">
        <f t="shared" si="170"/>
        <v>3.92</v>
      </c>
      <c r="LC34" s="92">
        <f t="shared" si="171"/>
        <v>32805.72</v>
      </c>
      <c r="LD34" s="92">
        <v>4.21</v>
      </c>
      <c r="LE34" s="92">
        <v>2936.0499999999997</v>
      </c>
      <c r="LF34" s="90">
        <f t="shared" si="172"/>
        <v>4.18</v>
      </c>
      <c r="LG34" s="90">
        <f t="shared" si="173"/>
        <v>2915.13</v>
      </c>
      <c r="LH34" s="90">
        <f t="shared" si="174"/>
        <v>2938.84575</v>
      </c>
      <c r="LI34" s="90">
        <f t="shared" si="175"/>
        <v>4.21</v>
      </c>
      <c r="LJ34" s="90">
        <f t="shared" si="176"/>
        <v>2915.1299999999997</v>
      </c>
      <c r="LK34" s="90">
        <f t="shared" si="177"/>
        <v>4.18</v>
      </c>
      <c r="LL34" s="90">
        <f t="shared" si="178"/>
        <v>2915.1299999999997</v>
      </c>
      <c r="LM34" s="90">
        <f t="shared" si="179"/>
        <v>4.18</v>
      </c>
      <c r="LN34" s="95">
        <v>0.46</v>
      </c>
      <c r="LO34" s="95">
        <f t="shared" si="180"/>
        <v>320.8</v>
      </c>
      <c r="LP34" s="95"/>
      <c r="LQ34" s="95">
        <f t="shared" si="181"/>
        <v>0</v>
      </c>
      <c r="LR34" s="90"/>
      <c r="LS34" s="90"/>
      <c r="LT34" s="90">
        <f t="shared" si="182"/>
        <v>0</v>
      </c>
      <c r="LU34" s="90"/>
      <c r="LV34" s="90">
        <f t="shared" si="183"/>
        <v>0</v>
      </c>
      <c r="LW34" s="90">
        <f t="shared" si="184"/>
        <v>0</v>
      </c>
      <c r="LX34" s="90"/>
      <c r="LY34" s="90"/>
      <c r="LZ34" s="90">
        <f t="shared" si="185"/>
        <v>0</v>
      </c>
      <c r="MA34" s="90"/>
      <c r="MB34" s="90">
        <f t="shared" si="186"/>
        <v>0</v>
      </c>
      <c r="MC34" s="90">
        <f t="shared" si="187"/>
        <v>0</v>
      </c>
      <c r="MD34" s="90"/>
      <c r="ME34" s="90"/>
      <c r="MF34" s="90">
        <f t="shared" si="188"/>
        <v>0</v>
      </c>
      <c r="MG34" s="90"/>
      <c r="MH34" s="90">
        <f t="shared" si="189"/>
        <v>0</v>
      </c>
      <c r="MI34" s="90">
        <f t="shared" si="190"/>
        <v>0</v>
      </c>
      <c r="MJ34" s="90"/>
      <c r="MK34" s="90"/>
      <c r="ML34" s="90">
        <f t="shared" si="191"/>
        <v>0</v>
      </c>
      <c r="MM34" s="90"/>
      <c r="MN34" s="90">
        <f t="shared" si="192"/>
        <v>0</v>
      </c>
      <c r="MO34" s="90">
        <f t="shared" si="193"/>
        <v>0</v>
      </c>
      <c r="MP34" s="90">
        <f t="shared" si="194"/>
        <v>0</v>
      </c>
      <c r="MQ34" s="90">
        <f t="shared" si="195"/>
        <v>0</v>
      </c>
      <c r="MR34" s="90">
        <f t="shared" si="196"/>
        <v>0</v>
      </c>
      <c r="MS34" s="90">
        <f t="shared" si="197"/>
        <v>0</v>
      </c>
      <c r="MT34" s="95"/>
      <c r="MU34" s="95">
        <f t="shared" si="198"/>
        <v>0</v>
      </c>
      <c r="MV34" s="92">
        <f t="shared" si="199"/>
        <v>0</v>
      </c>
      <c r="MW34" s="95"/>
      <c r="MX34" s="95">
        <f t="shared" si="200"/>
        <v>0</v>
      </c>
      <c r="MY34" s="95"/>
      <c r="MZ34" s="95">
        <f t="shared" si="201"/>
        <v>0</v>
      </c>
      <c r="NA34" s="95"/>
      <c r="NB34" s="95">
        <f t="shared" si="202"/>
        <v>0</v>
      </c>
      <c r="NC34" s="92">
        <f t="shared" si="203"/>
        <v>0</v>
      </c>
      <c r="ND34" s="95"/>
      <c r="NE34" s="95">
        <f t="shared" si="204"/>
        <v>0</v>
      </c>
      <c r="NF34" s="95"/>
      <c r="NG34" s="95">
        <f t="shared" si="205"/>
        <v>0</v>
      </c>
      <c r="NH34" s="95"/>
      <c r="NI34" s="95"/>
      <c r="NJ34" s="95">
        <f t="shared" si="206"/>
        <v>0</v>
      </c>
      <c r="NK34" s="92">
        <f t="shared" si="207"/>
        <v>0</v>
      </c>
      <c r="NL34" s="95"/>
      <c r="NM34" s="95">
        <f t="shared" si="208"/>
        <v>0</v>
      </c>
      <c r="NN34" s="95"/>
      <c r="NO34" s="95">
        <f t="shared" si="209"/>
        <v>0</v>
      </c>
      <c r="NP34" s="95"/>
      <c r="NQ34" s="95">
        <f t="shared" si="210"/>
        <v>0</v>
      </c>
      <c r="NR34" s="92">
        <f t="shared" si="211"/>
        <v>0</v>
      </c>
      <c r="NS34" s="95"/>
      <c r="NT34" s="95">
        <f t="shared" si="212"/>
        <v>0</v>
      </c>
      <c r="NU34" s="95"/>
      <c r="NV34" s="95">
        <f t="shared" si="213"/>
        <v>0</v>
      </c>
      <c r="NW34" s="95"/>
      <c r="NX34" s="95">
        <f t="shared" si="214"/>
        <v>0</v>
      </c>
      <c r="NY34" s="92">
        <f t="shared" si="215"/>
        <v>0</v>
      </c>
      <c r="NZ34" s="95"/>
      <c r="OA34" s="95">
        <f t="shared" si="216"/>
        <v>0</v>
      </c>
      <c r="OB34" s="95"/>
      <c r="OC34" s="95">
        <f t="shared" si="217"/>
        <v>0</v>
      </c>
      <c r="OD34" s="90">
        <v>4400.59</v>
      </c>
      <c r="OE34" s="90">
        <f t="shared" si="218"/>
        <v>6.31</v>
      </c>
      <c r="OF34" s="92">
        <f t="shared" si="219"/>
        <v>52807.08</v>
      </c>
      <c r="OG34" s="96">
        <v>988.26</v>
      </c>
      <c r="OH34" s="96">
        <v>1.42</v>
      </c>
      <c r="OI34" s="90">
        <v>5390.9</v>
      </c>
      <c r="OJ34" s="90">
        <f t="shared" si="220"/>
        <v>7.73</v>
      </c>
      <c r="OK34" s="90">
        <f t="shared" si="221"/>
        <v>5388.85</v>
      </c>
      <c r="OL34" s="90">
        <f t="shared" si="222"/>
        <v>7.73</v>
      </c>
      <c r="OM34" s="90">
        <f t="shared" si="223"/>
        <v>0</v>
      </c>
      <c r="ON34" s="90">
        <v>4400.59</v>
      </c>
      <c r="OO34" s="90">
        <f t="shared" si="224"/>
        <v>6.31</v>
      </c>
      <c r="OP34" s="90">
        <v>4402.6399999999994</v>
      </c>
      <c r="OQ34" s="90">
        <v>6.31</v>
      </c>
      <c r="OR34" s="90">
        <f t="shared" si="225"/>
        <v>0</v>
      </c>
      <c r="OS34" s="90">
        <f t="shared" si="226"/>
        <v>6.3100000000000005</v>
      </c>
      <c r="OT34" s="90">
        <v>4400.59</v>
      </c>
      <c r="OU34" s="90">
        <f t="shared" si="227"/>
        <v>6.31</v>
      </c>
      <c r="OV34" s="97">
        <v>3703.19</v>
      </c>
      <c r="OW34" s="90">
        <f t="shared" si="228"/>
        <v>3703.19</v>
      </c>
      <c r="OX34" s="90">
        <f t="shared" si="229"/>
        <v>5.31</v>
      </c>
      <c r="OY34" s="90">
        <f t="shared" ref="OY34:OY37" si="547">OU34-1</f>
        <v>5.31</v>
      </c>
      <c r="OZ34" s="90"/>
      <c r="PA34" s="90"/>
      <c r="PB34" s="95">
        <f t="shared" si="230"/>
        <v>0</v>
      </c>
      <c r="PC34" s="92">
        <f t="shared" si="231"/>
        <v>0</v>
      </c>
      <c r="PD34" s="90"/>
      <c r="PE34" s="95">
        <f t="shared" si="232"/>
        <v>0</v>
      </c>
      <c r="PF34" s="90">
        <f t="shared" si="233"/>
        <v>11115.65</v>
      </c>
      <c r="PG34" s="90">
        <f t="shared" si="234"/>
        <v>15.94</v>
      </c>
      <c r="PH34" s="90">
        <f t="shared" si="235"/>
        <v>12619.266666666666</v>
      </c>
      <c r="PI34" s="90">
        <f t="shared" si="236"/>
        <v>18.09</v>
      </c>
      <c r="PJ34" s="90">
        <f t="shared" si="237"/>
        <v>12619.266666666666</v>
      </c>
      <c r="PK34" s="90">
        <f t="shared" si="238"/>
        <v>18.09</v>
      </c>
      <c r="PL34" s="90"/>
      <c r="PM34" s="90">
        <f t="shared" si="239"/>
        <v>333.47</v>
      </c>
      <c r="PN34" s="90">
        <f t="shared" si="240"/>
        <v>0.48</v>
      </c>
      <c r="PO34" s="92">
        <f t="shared" si="241"/>
        <v>4001.6400000000003</v>
      </c>
      <c r="PP34" s="90">
        <f t="shared" si="242"/>
        <v>378.58</v>
      </c>
      <c r="PQ34" s="90">
        <f t="shared" si="243"/>
        <v>0.54</v>
      </c>
      <c r="PR34" s="90">
        <f t="shared" si="244"/>
        <v>378.58</v>
      </c>
      <c r="PS34" s="90">
        <f t="shared" si="245"/>
        <v>0.54</v>
      </c>
      <c r="PT34" s="90">
        <f t="shared" si="246"/>
        <v>11449.119999999999</v>
      </c>
      <c r="PU34" s="90">
        <f t="shared" si="247"/>
        <v>16.420000000000002</v>
      </c>
      <c r="PV34" s="90">
        <f t="shared" si="248"/>
        <v>12997.846666666666</v>
      </c>
      <c r="PW34" s="90">
        <f t="shared" si="249"/>
        <v>18.64</v>
      </c>
      <c r="PX34" s="90">
        <f t="shared" si="250"/>
        <v>12997.846666666666</v>
      </c>
      <c r="PY34" s="90">
        <f t="shared" si="251"/>
        <v>18.64</v>
      </c>
      <c r="PZ34" s="90">
        <f t="shared" si="252"/>
        <v>115.65</v>
      </c>
      <c r="QA34" s="90">
        <f t="shared" si="253"/>
        <v>0.17</v>
      </c>
      <c r="QB34" s="92">
        <f t="shared" si="254"/>
        <v>1387.8000000000002</v>
      </c>
      <c r="QC34" s="90">
        <f t="shared" si="255"/>
        <v>131.29</v>
      </c>
      <c r="QD34" s="90">
        <f t="shared" si="256"/>
        <v>0.19</v>
      </c>
      <c r="QE34" s="90">
        <f t="shared" si="257"/>
        <v>131.29</v>
      </c>
      <c r="QF34" s="90">
        <f t="shared" si="258"/>
        <v>0.19</v>
      </c>
      <c r="QG34" s="90">
        <f t="shared" si="259"/>
        <v>11564.769999999999</v>
      </c>
      <c r="QH34" s="90">
        <f t="shared" si="260"/>
        <v>16.579999999999998</v>
      </c>
      <c r="QI34" s="92">
        <f t="shared" si="261"/>
        <v>138777.24</v>
      </c>
      <c r="QJ34" s="90">
        <f t="shared" si="262"/>
        <v>435.47060526023961</v>
      </c>
      <c r="QK34" s="98">
        <f t="shared" si="263"/>
        <v>0.21869999999999998</v>
      </c>
      <c r="QL34" s="90">
        <f t="shared" si="264"/>
        <v>152.52137999999999</v>
      </c>
      <c r="QM34" s="90">
        <f t="shared" si="265"/>
        <v>0.14579999999999999</v>
      </c>
      <c r="QN34" s="90">
        <f t="shared" si="266"/>
        <v>101.68092</v>
      </c>
      <c r="QO34" s="90">
        <v>0.21869999999999998</v>
      </c>
      <c r="QP34" s="90">
        <v>0.14579999999999999</v>
      </c>
      <c r="QQ34" s="97">
        <f t="shared" si="267"/>
        <v>254.20229999999998</v>
      </c>
      <c r="QR34" s="97">
        <v>254.31164999999999</v>
      </c>
      <c r="QS34" s="97">
        <f t="shared" si="268"/>
        <v>-0.10935000000000628</v>
      </c>
      <c r="QT34" s="90"/>
      <c r="QU34" s="90">
        <f t="shared" si="269"/>
        <v>0.14579999999999999</v>
      </c>
      <c r="QV34" s="90">
        <f t="shared" si="270"/>
        <v>101.68092</v>
      </c>
      <c r="QW34" s="90">
        <f t="shared" si="271"/>
        <v>254.20229999999998</v>
      </c>
      <c r="QX34" s="90">
        <f t="shared" si="272"/>
        <v>0.36449999999999994</v>
      </c>
      <c r="QY34" s="90"/>
      <c r="QZ34" s="90"/>
      <c r="RA34" s="90"/>
      <c r="RB34" s="90">
        <v>2595.4700000000003</v>
      </c>
      <c r="RC34" s="97">
        <f t="shared" si="273"/>
        <v>11564.769999999999</v>
      </c>
      <c r="RD34" s="97">
        <f t="shared" si="274"/>
        <v>16.579999999999998</v>
      </c>
      <c r="RE34" s="90">
        <f t="shared" si="275"/>
        <v>13129.136666666667</v>
      </c>
      <c r="RF34" s="90">
        <f t="shared" si="276"/>
        <v>18.829999999999998</v>
      </c>
      <c r="RG34" s="90">
        <f t="shared" si="277"/>
        <v>113.50210970464134</v>
      </c>
      <c r="RH34" s="90">
        <f t="shared" si="278"/>
        <v>13129.136666666667</v>
      </c>
      <c r="RI34" s="90">
        <f t="shared" si="279"/>
        <v>18.829999999999998</v>
      </c>
      <c r="RJ34" s="90">
        <v>18.509999999999998</v>
      </c>
      <c r="RK34" s="90">
        <v>0</v>
      </c>
      <c r="RL34" s="90">
        <f t="shared" si="280"/>
        <v>0.32000000000000028</v>
      </c>
      <c r="RM34" s="90">
        <f t="shared" si="281"/>
        <v>105.3131991051454</v>
      </c>
      <c r="RN34" s="90">
        <f t="shared" si="282"/>
        <v>7007.24</v>
      </c>
      <c r="RO34" s="90"/>
      <c r="RP34" s="90"/>
      <c r="RQ34" s="99">
        <v>574</v>
      </c>
      <c r="RR34" s="90">
        <f t="shared" si="283"/>
        <v>7164.1799999999994</v>
      </c>
      <c r="RS34" s="90">
        <f t="shared" si="284"/>
        <v>10.272698594780611</v>
      </c>
      <c r="RT34" s="90">
        <f>11.28+3.3</f>
        <v>14.579999999999998</v>
      </c>
      <c r="RU34" s="90">
        <f t="shared" si="285"/>
        <v>10168.092000000001</v>
      </c>
      <c r="RV34" s="90">
        <f t="shared" si="286"/>
        <v>0.62442013946119812</v>
      </c>
      <c r="RW34" s="90">
        <v>10.43</v>
      </c>
      <c r="RX34" s="90">
        <f t="shared" si="287"/>
        <v>10.951499999999999</v>
      </c>
      <c r="RY34" s="90">
        <f t="shared" si="288"/>
        <v>7637.5761000000002</v>
      </c>
      <c r="RZ34" s="90">
        <f t="shared" si="289"/>
        <v>2014.9539671159159</v>
      </c>
      <c r="SA34" s="90">
        <f t="shared" si="290"/>
        <v>901.48452600593396</v>
      </c>
      <c r="SB34" s="90">
        <f t="shared" si="291"/>
        <v>1363.1361473052184</v>
      </c>
      <c r="SC34" s="90">
        <f t="shared" si="292"/>
        <v>2476.6055884152015</v>
      </c>
      <c r="SD34" s="90">
        <f t="shared" si="293"/>
        <v>2476.6055884152001</v>
      </c>
      <c r="SE34" s="90">
        <f t="shared" si="294"/>
        <v>2513.907413332789</v>
      </c>
      <c r="SF34" s="90">
        <f t="shared" si="295"/>
        <v>2476.5474748304255</v>
      </c>
      <c r="SG34" s="90">
        <f t="shared" si="296"/>
        <v>5.8113584776037897E-2</v>
      </c>
      <c r="SH34" s="90">
        <f t="shared" si="297"/>
        <v>2476.6890269453056</v>
      </c>
      <c r="SI34" s="90">
        <f t="shared" si="298"/>
        <v>3.5511981479999997</v>
      </c>
      <c r="SJ34" s="90">
        <f t="shared" si="299"/>
        <v>3.5511148190857833</v>
      </c>
      <c r="SK34" s="90"/>
      <c r="SL34" s="90"/>
      <c r="SM34" s="90"/>
      <c r="SN34" s="90">
        <f t="shared" si="300"/>
        <v>2651.46</v>
      </c>
      <c r="SO34" s="90" t="e">
        <f>RU34-#REF!-#REF!-HZ34-LT34-LZ34-MF34-ML34-QL34-QN34-SD34</f>
        <v>#REF!</v>
      </c>
      <c r="SP34" s="90">
        <f t="shared" si="301"/>
        <v>2595.4700000000003</v>
      </c>
      <c r="SQ34" s="90">
        <f t="shared" si="302"/>
        <v>2733.81</v>
      </c>
      <c r="SR34" s="90">
        <f t="shared" si="303"/>
        <v>3.7216375107542299</v>
      </c>
      <c r="SS34" s="90">
        <f t="shared" si="304"/>
        <v>3.9200028677946652</v>
      </c>
      <c r="ST34" s="90">
        <f t="shared" si="305"/>
        <v>2744.2280000000001</v>
      </c>
      <c r="SU34" s="90">
        <v>3.7216375107542299</v>
      </c>
      <c r="SV34" s="90">
        <f t="shared" si="306"/>
        <v>3.93</v>
      </c>
      <c r="SW34" s="90">
        <v>3.92</v>
      </c>
      <c r="SX34" s="90">
        <f t="shared" si="307"/>
        <v>2733.81</v>
      </c>
      <c r="SY34" s="90">
        <v>3.7216425397735415</v>
      </c>
      <c r="SZ34" s="90">
        <f t="shared" si="308"/>
        <v>2595.4735072380681</v>
      </c>
      <c r="TA34" s="90">
        <f t="shared" si="309"/>
        <v>3.5072380678684567E-3</v>
      </c>
      <c r="TB34" s="90">
        <v>0</v>
      </c>
      <c r="TC34" s="90">
        <f t="shared" si="310"/>
        <v>3736.1796999999988</v>
      </c>
      <c r="TD34" s="90" t="e">
        <f>#REF!+#REF!</f>
        <v>#REF!</v>
      </c>
      <c r="TE34" s="90" t="e">
        <f t="shared" si="311"/>
        <v>#REF!</v>
      </c>
      <c r="TF34" s="90">
        <v>3546.5396999999994</v>
      </c>
      <c r="TG34" s="90">
        <f t="shared" si="312"/>
        <v>36.744157114235385</v>
      </c>
      <c r="TH34" s="95"/>
      <c r="TI34" s="95"/>
      <c r="TJ34" s="95"/>
      <c r="TK34" s="95"/>
      <c r="TL34" s="95"/>
      <c r="TM34" s="95">
        <f t="shared" si="313"/>
        <v>0</v>
      </c>
      <c r="TN34" s="95">
        <f t="shared" si="314"/>
        <v>10168.092000000001</v>
      </c>
      <c r="TO34" s="95">
        <f t="shared" si="315"/>
        <v>36.744157114235385</v>
      </c>
      <c r="TP34" s="95"/>
      <c r="TQ34" s="95">
        <f t="shared" si="316"/>
        <v>14.579999999999998</v>
      </c>
      <c r="TR34" s="95"/>
      <c r="TS34" s="95"/>
      <c r="TT34" s="95"/>
      <c r="TU34" s="95"/>
      <c r="TV34" s="95"/>
      <c r="TW34" s="95"/>
      <c r="TX34" s="95"/>
      <c r="TY34" s="95"/>
      <c r="TZ34" s="95">
        <f t="shared" si="317"/>
        <v>2.5</v>
      </c>
      <c r="UA34" s="95">
        <f t="shared" si="318"/>
        <v>0.64151999999999998</v>
      </c>
      <c r="UB34" s="90">
        <v>0</v>
      </c>
      <c r="UC34" s="90">
        <f t="shared" si="319"/>
        <v>0</v>
      </c>
      <c r="UD34" s="90">
        <f t="shared" si="320"/>
        <v>0</v>
      </c>
      <c r="UE34" s="90">
        <f t="shared" si="321"/>
        <v>0</v>
      </c>
      <c r="UF34" s="90">
        <f t="shared" si="322"/>
        <v>10168.092000000001</v>
      </c>
      <c r="UG34" s="91">
        <f t="shared" si="323"/>
        <v>0</v>
      </c>
      <c r="UH34" s="95">
        <f t="shared" si="324"/>
        <v>36.744157114235385</v>
      </c>
      <c r="UI34" s="95">
        <f t="shared" si="325"/>
        <v>10168.092000000001</v>
      </c>
      <c r="UJ34" s="101">
        <f t="shared" si="326"/>
        <v>0</v>
      </c>
      <c r="UK34" s="101">
        <f t="shared" si="327"/>
        <v>36.744157114235385</v>
      </c>
      <c r="UL34" s="90" t="e">
        <f>(#REF!+#REF!+HZ34+LT34+LZ34+MF34+ML34+QL34+QN34+SN34+TC34+TM34+UC34)/I34</f>
        <v>#REF!</v>
      </c>
      <c r="UN34" s="90" t="e">
        <f>#REF!/I34</f>
        <v>#REF!</v>
      </c>
      <c r="UO34" s="90" t="e">
        <f>#REF!/I34</f>
        <v>#REF!</v>
      </c>
      <c r="UP34" s="90">
        <v>1.1499999999999999</v>
      </c>
      <c r="UQ34" s="90" t="e">
        <f t="shared" si="328"/>
        <v>#REF!</v>
      </c>
      <c r="UR34" s="90">
        <f t="shared" si="329"/>
        <v>7164.1799999999994</v>
      </c>
      <c r="US34" s="90">
        <f t="shared" si="330"/>
        <v>8857.99</v>
      </c>
      <c r="UT34" s="90">
        <f t="shared" si="331"/>
        <v>8857.99</v>
      </c>
      <c r="UU34" s="90">
        <f t="shared" si="516"/>
        <v>9178.7899999999991</v>
      </c>
      <c r="UV34" s="90">
        <f t="shared" si="333"/>
        <v>9105.1466666666674</v>
      </c>
      <c r="UW34" s="90">
        <f t="shared" si="334"/>
        <v>5.99</v>
      </c>
      <c r="UX34" s="90">
        <f t="shared" si="335"/>
        <v>3.92</v>
      </c>
      <c r="UY34" s="90">
        <f t="shared" si="336"/>
        <v>3.8019214224261537</v>
      </c>
      <c r="UZ34" s="100">
        <f t="shared" si="337"/>
        <v>3.5511981479999997</v>
      </c>
      <c r="VA34" s="90">
        <f t="shared" si="338"/>
        <v>0.65</v>
      </c>
      <c r="VB34" s="90">
        <f t="shared" si="339"/>
        <v>1.42</v>
      </c>
      <c r="VC34" s="90">
        <f t="shared" si="340"/>
        <v>0</v>
      </c>
      <c r="VD34" s="90">
        <f t="shared" si="341"/>
        <v>0</v>
      </c>
      <c r="VE34" s="90">
        <f t="shared" si="342"/>
        <v>0</v>
      </c>
      <c r="VF34" s="90">
        <f t="shared" si="343"/>
        <v>0</v>
      </c>
      <c r="VG34" s="90">
        <f t="shared" si="344"/>
        <v>0</v>
      </c>
      <c r="VH34" s="90">
        <f t="shared" si="345"/>
        <v>0</v>
      </c>
      <c r="VI34" s="90">
        <f t="shared" si="346"/>
        <v>0</v>
      </c>
      <c r="VJ34" s="90">
        <f t="shared" si="347"/>
        <v>0</v>
      </c>
      <c r="VK34" s="90">
        <f t="shared" si="348"/>
        <v>0.8</v>
      </c>
      <c r="VL34" s="90">
        <f t="shared" si="349"/>
        <v>3.64</v>
      </c>
      <c r="VM34" s="90">
        <f t="shared" si="350"/>
        <v>6.31</v>
      </c>
      <c r="VN34" s="90">
        <f t="shared" si="351"/>
        <v>0</v>
      </c>
      <c r="VO34" s="90">
        <f t="shared" si="352"/>
        <v>6.31</v>
      </c>
      <c r="VP34" s="97">
        <v>0</v>
      </c>
      <c r="VQ34" s="97">
        <v>6.31</v>
      </c>
      <c r="VR34" s="90">
        <f t="shared" si="353"/>
        <v>0.48</v>
      </c>
      <c r="VS34" s="90">
        <f t="shared" si="354"/>
        <v>0.17</v>
      </c>
      <c r="VT34" s="90">
        <v>0.11989898989898991</v>
      </c>
      <c r="VU34" s="90">
        <f t="shared" si="355"/>
        <v>0.16589999999999999</v>
      </c>
      <c r="VV34" s="90">
        <v>0.38175323599898991</v>
      </c>
      <c r="VW34" s="90">
        <f t="shared" si="356"/>
        <v>0.65</v>
      </c>
      <c r="VX34" s="90">
        <f t="shared" si="357"/>
        <v>16.59</v>
      </c>
      <c r="VY34" s="90">
        <f t="shared" si="358"/>
        <v>16.59</v>
      </c>
      <c r="VZ34" s="90">
        <f t="shared" si="359"/>
        <v>0</v>
      </c>
      <c r="WA34" s="90"/>
      <c r="WB34" s="90">
        <f t="shared" si="360"/>
        <v>16.59</v>
      </c>
      <c r="WC34" s="90">
        <f t="shared" si="361"/>
        <v>0</v>
      </c>
      <c r="WD34" s="90"/>
      <c r="WE34" s="90">
        <v>16.59</v>
      </c>
      <c r="WF34" s="90"/>
      <c r="WG34" s="90">
        <f t="shared" si="362"/>
        <v>11569.866000000002</v>
      </c>
      <c r="WH34" s="90">
        <f t="shared" si="363"/>
        <v>11569.866000000002</v>
      </c>
      <c r="WI34" s="90">
        <f t="shared" si="364"/>
        <v>11564.769999999999</v>
      </c>
      <c r="WJ34" s="90">
        <f t="shared" si="365"/>
        <v>7164.1799999999994</v>
      </c>
      <c r="WK34" s="97">
        <v>4400.59</v>
      </c>
      <c r="WL34" s="97">
        <v>6.31</v>
      </c>
      <c r="WM34" s="90">
        <f t="shared" si="366"/>
        <v>4400.59</v>
      </c>
      <c r="WN34" s="90">
        <f t="shared" si="367"/>
        <v>6.31</v>
      </c>
      <c r="WO34" s="90"/>
      <c r="WP34" s="97">
        <v>16.59</v>
      </c>
      <c r="WQ34" s="90">
        <f t="shared" si="368"/>
        <v>16.59</v>
      </c>
      <c r="WR34" s="91">
        <f t="shared" si="369"/>
        <v>113.78600823045268</v>
      </c>
      <c r="WS34" s="91">
        <f t="shared" si="370"/>
        <v>147.07446808510639</v>
      </c>
      <c r="WT34" s="90">
        <f t="shared" si="371"/>
        <v>11569.87</v>
      </c>
      <c r="WU34" s="90">
        <f t="shared" si="372"/>
        <v>11564.769999999999</v>
      </c>
      <c r="WV34" s="90">
        <f t="shared" si="373"/>
        <v>5.1000000000021828</v>
      </c>
      <c r="WW34" s="90">
        <v>3.3</v>
      </c>
      <c r="WX34" s="90"/>
      <c r="WY34" s="90"/>
      <c r="WZ34" s="90">
        <f t="shared" si="374"/>
        <v>5.1620434343434338</v>
      </c>
      <c r="XA34" s="90">
        <v>0</v>
      </c>
      <c r="XB34" s="90">
        <f t="shared" si="375"/>
        <v>5.1620434343434338</v>
      </c>
      <c r="XC34" s="90">
        <f t="shared" si="376"/>
        <v>0.46229999999999999</v>
      </c>
      <c r="XD34" s="90">
        <f t="shared" si="377"/>
        <v>0.15565656565656566</v>
      </c>
      <c r="XE34" s="90"/>
      <c r="XF34" s="90">
        <f t="shared" si="378"/>
        <v>15.41</v>
      </c>
      <c r="XG34" s="90">
        <v>5.0853738170346992</v>
      </c>
      <c r="XH34" s="20">
        <v>14.579999999999998</v>
      </c>
      <c r="XI34" s="20">
        <v>0</v>
      </c>
      <c r="XJ34" s="20"/>
      <c r="XK34" s="20"/>
      <c r="XL34" s="20"/>
      <c r="XM34" s="20">
        <f t="shared" si="379"/>
        <v>14.579999999999998</v>
      </c>
      <c r="XN34" s="91">
        <f t="shared" si="380"/>
        <v>113.78600823045268</v>
      </c>
      <c r="XO34" s="20">
        <f t="shared" si="381"/>
        <v>14.579999999999998</v>
      </c>
      <c r="XP34" s="90">
        <f t="shared" si="382"/>
        <v>11.279999999999998</v>
      </c>
      <c r="XQ34" s="91">
        <f t="shared" si="383"/>
        <v>113.78600823045268</v>
      </c>
      <c r="XR34" s="102"/>
      <c r="XS34" s="90">
        <f t="shared" si="384"/>
        <v>3.64</v>
      </c>
      <c r="XT34" s="90">
        <f t="shared" si="385"/>
        <v>5.99</v>
      </c>
      <c r="XU34" s="90">
        <f t="shared" si="386"/>
        <v>3.92</v>
      </c>
      <c r="XV34" s="90">
        <f t="shared" si="387"/>
        <v>0.65</v>
      </c>
      <c r="XW34" s="90">
        <f t="shared" si="388"/>
        <v>0.65</v>
      </c>
      <c r="XX34" s="90">
        <f t="shared" si="389"/>
        <v>0</v>
      </c>
      <c r="XY34" s="90">
        <f t="shared" si="390"/>
        <v>1.42</v>
      </c>
      <c r="XZ34" s="90">
        <f t="shared" si="391"/>
        <v>0</v>
      </c>
      <c r="YA34" s="90">
        <f t="shared" si="392"/>
        <v>0</v>
      </c>
      <c r="YB34" s="90">
        <f t="shared" si="537"/>
        <v>0</v>
      </c>
      <c r="YC34" s="90">
        <f t="shared" si="537"/>
        <v>0</v>
      </c>
      <c r="YD34" s="90">
        <f t="shared" si="394"/>
        <v>1.42</v>
      </c>
      <c r="YE34" s="90">
        <f t="shared" si="395"/>
        <v>6.31</v>
      </c>
      <c r="YF34" s="90">
        <f t="shared" si="396"/>
        <v>0.65</v>
      </c>
      <c r="YG34" s="90">
        <f t="shared" si="397"/>
        <v>16.59</v>
      </c>
      <c r="YI34" s="103" t="s">
        <v>485</v>
      </c>
      <c r="YK34" s="90">
        <f t="shared" si="398"/>
        <v>1.07</v>
      </c>
      <c r="YL34" s="90">
        <f t="shared" si="538"/>
        <v>0.65</v>
      </c>
      <c r="YM34" s="90">
        <f t="shared" si="538"/>
        <v>1.42</v>
      </c>
      <c r="YN34" s="90">
        <f t="shared" si="400"/>
        <v>3.64</v>
      </c>
      <c r="YO34" s="90">
        <f t="shared" si="401"/>
        <v>9.81</v>
      </c>
      <c r="YP34" s="90">
        <f t="shared" si="402"/>
        <v>0</v>
      </c>
      <c r="YQ34" s="90">
        <f t="shared" si="403"/>
        <v>16.59</v>
      </c>
      <c r="YR34" s="90">
        <f t="shared" si="404"/>
        <v>0</v>
      </c>
      <c r="YS34" s="104">
        <f t="shared" si="405"/>
        <v>16.59</v>
      </c>
      <c r="YT34" s="104">
        <f t="shared" si="406"/>
        <v>0</v>
      </c>
      <c r="YY34" s="90">
        <f t="shared" si="407"/>
        <v>7.8599999999999994</v>
      </c>
      <c r="YZ34" s="90">
        <f t="shared" si="408"/>
        <v>4.18</v>
      </c>
      <c r="ZA34" s="90">
        <f t="shared" si="409"/>
        <v>0.69</v>
      </c>
      <c r="ZB34" s="90">
        <f t="shared" si="410"/>
        <v>2.99</v>
      </c>
      <c r="ZC34" s="90">
        <f t="shared" si="411"/>
        <v>0</v>
      </c>
      <c r="ZD34" s="90">
        <f t="shared" si="412"/>
        <v>0</v>
      </c>
      <c r="ZE34" s="90">
        <f t="shared" si="413"/>
        <v>0</v>
      </c>
      <c r="ZF34" s="90">
        <f t="shared" si="414"/>
        <v>0</v>
      </c>
      <c r="ZG34" s="90">
        <f t="shared" si="415"/>
        <v>0</v>
      </c>
      <c r="ZH34" s="90">
        <f t="shared" si="416"/>
        <v>0</v>
      </c>
      <c r="ZI34" s="90">
        <f t="shared" si="417"/>
        <v>0</v>
      </c>
      <c r="ZJ34" s="90">
        <f t="shared" si="418"/>
        <v>0</v>
      </c>
      <c r="ZK34" s="90">
        <f t="shared" si="419"/>
        <v>0</v>
      </c>
      <c r="ZL34" s="90">
        <f t="shared" si="420"/>
        <v>0.02</v>
      </c>
      <c r="ZM34" s="90">
        <f t="shared" si="421"/>
        <v>4.1100000000000003</v>
      </c>
      <c r="ZN34" s="90">
        <f t="shared" si="422"/>
        <v>8.3000000000000007</v>
      </c>
      <c r="ZO34" s="90">
        <f t="shared" si="423"/>
        <v>7.73</v>
      </c>
      <c r="ZP34" s="90">
        <f t="shared" si="424"/>
        <v>5.31</v>
      </c>
      <c r="ZQ34" s="90">
        <f t="shared" si="425"/>
        <v>0</v>
      </c>
      <c r="ZR34" s="90">
        <f t="shared" si="426"/>
        <v>5.31</v>
      </c>
      <c r="ZS34" s="97">
        <v>227</v>
      </c>
      <c r="ZT34" s="97">
        <v>230.38</v>
      </c>
      <c r="ZU34" s="90">
        <f t="shared" si="427"/>
        <v>0.54</v>
      </c>
      <c r="ZV34" s="90">
        <f t="shared" si="428"/>
        <v>0.19</v>
      </c>
      <c r="ZW34" s="90">
        <v>0.11989898989898991</v>
      </c>
      <c r="ZX34" s="90">
        <f t="shared" si="429"/>
        <v>0.18009999999999998</v>
      </c>
      <c r="ZY34" s="90">
        <v>0.38175323599898991</v>
      </c>
      <c r="ZZ34" s="90">
        <f t="shared" si="430"/>
        <v>0.73</v>
      </c>
      <c r="AAA34" s="90">
        <f t="shared" si="431"/>
        <v>18.009999999999998</v>
      </c>
      <c r="AAB34" s="90">
        <f t="shared" si="432"/>
        <v>18.009999999999998</v>
      </c>
      <c r="AAC34" s="90">
        <f t="shared" si="433"/>
        <v>0</v>
      </c>
      <c r="AAD34" s="90"/>
      <c r="AAE34" s="90">
        <f t="shared" si="434"/>
        <v>18.009999999999998</v>
      </c>
      <c r="AAF34" s="90">
        <v>16.59</v>
      </c>
      <c r="AAG34" s="90">
        <f t="shared" si="435"/>
        <v>108.55937311633512</v>
      </c>
      <c r="AAH34" s="90">
        <f t="shared" si="436"/>
        <v>0</v>
      </c>
      <c r="AAI34" s="90">
        <v>0</v>
      </c>
      <c r="AAJ34" s="90"/>
      <c r="AAK34" s="1">
        <v>17.88</v>
      </c>
      <c r="AAL34" s="104">
        <f t="shared" si="437"/>
        <v>0.12999999999999901</v>
      </c>
      <c r="AAM34" s="103" t="s">
        <v>440</v>
      </c>
      <c r="AAN34" s="105">
        <v>7.9600000000000009</v>
      </c>
      <c r="AAO34" s="90">
        <f t="shared" si="438"/>
        <v>8.68</v>
      </c>
      <c r="AAP34" s="90">
        <v>4.21</v>
      </c>
      <c r="AAQ34" s="90">
        <f t="shared" si="439"/>
        <v>4.18</v>
      </c>
      <c r="AAR34" s="90">
        <v>0.69</v>
      </c>
      <c r="AAS34" s="90">
        <f t="shared" si="440"/>
        <v>1.05</v>
      </c>
      <c r="AAT34" s="90">
        <f t="shared" si="441"/>
        <v>152.17391304347828</v>
      </c>
      <c r="AAU34" s="90">
        <v>3.06</v>
      </c>
      <c r="AAV34" s="90">
        <f t="shared" si="442"/>
        <v>2.99</v>
      </c>
      <c r="AAW34" s="90">
        <f t="shared" si="443"/>
        <v>97.71241830065361</v>
      </c>
      <c r="AAX34" s="90">
        <f t="shared" si="444"/>
        <v>0.46</v>
      </c>
      <c r="AAY34" s="90">
        <f t="shared" si="445"/>
        <v>0</v>
      </c>
      <c r="AAZ34" s="90">
        <f t="shared" si="446"/>
        <v>0</v>
      </c>
      <c r="ABA34" s="90">
        <f t="shared" si="447"/>
        <v>0</v>
      </c>
      <c r="ABB34" s="90">
        <f t="shared" si="448"/>
        <v>0</v>
      </c>
      <c r="ABC34" s="90">
        <v>0</v>
      </c>
      <c r="ABD34" s="90">
        <f t="shared" si="449"/>
        <v>0</v>
      </c>
      <c r="ABE34" s="90"/>
      <c r="ABF34" s="90">
        <v>0</v>
      </c>
      <c r="ABG34" s="90">
        <f t="shared" si="450"/>
        <v>0</v>
      </c>
      <c r="ABH34" s="90"/>
      <c r="ABI34" s="90">
        <f t="shared" si="451"/>
        <v>0</v>
      </c>
      <c r="ABJ34" s="90">
        <f t="shared" si="452"/>
        <v>0</v>
      </c>
      <c r="ABK34" s="90">
        <v>0</v>
      </c>
      <c r="ABL34" s="90">
        <f t="shared" si="453"/>
        <v>0</v>
      </c>
      <c r="ABM34" s="90">
        <f t="shared" si="454"/>
        <v>0</v>
      </c>
      <c r="ABN34" s="90">
        <f t="shared" si="455"/>
        <v>0.02</v>
      </c>
      <c r="ABO34" s="90">
        <v>3.91</v>
      </c>
      <c r="ABP34" s="90">
        <f t="shared" si="456"/>
        <v>4.1100000000000003</v>
      </c>
      <c r="ABQ34" s="90">
        <f t="shared" si="457"/>
        <v>105.1150895140665</v>
      </c>
      <c r="ABR34" s="90">
        <f t="shared" si="458"/>
        <v>8.3000000000000007</v>
      </c>
      <c r="ABS34" s="90">
        <f t="shared" si="459"/>
        <v>7.73</v>
      </c>
      <c r="ABT34" s="90">
        <v>5.31</v>
      </c>
      <c r="ABU34" s="90">
        <f t="shared" si="460"/>
        <v>5.31</v>
      </c>
      <c r="ABV34" s="90">
        <f t="shared" si="461"/>
        <v>100</v>
      </c>
      <c r="ABW34" s="90">
        <f t="shared" si="462"/>
        <v>0</v>
      </c>
      <c r="ABX34" s="90">
        <f t="shared" si="463"/>
        <v>5.31</v>
      </c>
      <c r="ABY34" s="97">
        <v>227</v>
      </c>
      <c r="ABZ34" s="97">
        <v>230.38</v>
      </c>
      <c r="ACA34" s="90">
        <f t="shared" si="464"/>
        <v>0.54</v>
      </c>
      <c r="ACB34" s="90">
        <f t="shared" si="465"/>
        <v>0.19</v>
      </c>
      <c r="ACC34" s="90">
        <v>0.11989898989898991</v>
      </c>
      <c r="ACD34" s="90">
        <f t="shared" si="466"/>
        <v>0.18369999999999997</v>
      </c>
      <c r="ACE34" s="90">
        <v>0.38175323599898991</v>
      </c>
      <c r="ACF34" s="90">
        <v>0.7</v>
      </c>
      <c r="ACG34" s="90">
        <f t="shared" si="467"/>
        <v>0.73</v>
      </c>
      <c r="ACH34" s="90">
        <f t="shared" si="468"/>
        <v>104.28571428571429</v>
      </c>
      <c r="ACI34" s="90">
        <f t="shared" si="469"/>
        <v>18.829999999999998</v>
      </c>
      <c r="ACJ34" s="90">
        <f t="shared" si="470"/>
        <v>18.369999999999997</v>
      </c>
      <c r="ACK34" s="90">
        <f t="shared" si="471"/>
        <v>-0.46000000000000085</v>
      </c>
      <c r="ACL34" s="90"/>
      <c r="ACM34" s="90">
        <f t="shared" si="472"/>
        <v>18.829999999999998</v>
      </c>
      <c r="ACN34" s="90">
        <f t="shared" si="473"/>
        <v>0</v>
      </c>
      <c r="ACO34" s="90">
        <f t="shared" si="474"/>
        <v>18.829999999999998</v>
      </c>
      <c r="ACP34" s="90">
        <v>17.88</v>
      </c>
      <c r="ACQ34" s="90">
        <f t="shared" si="475"/>
        <v>105.3131991051454</v>
      </c>
      <c r="ACR34" s="90">
        <f t="shared" si="476"/>
        <v>0</v>
      </c>
      <c r="ACS34" s="90">
        <v>0</v>
      </c>
      <c r="ACT34" s="90"/>
      <c r="ACU34" s="90">
        <f t="shared" si="477"/>
        <v>18.791879999999999</v>
      </c>
      <c r="ACV34" s="90">
        <f t="shared" si="478"/>
        <v>-3.8119999999999266E-2</v>
      </c>
      <c r="ACX34" s="106" t="s">
        <v>512</v>
      </c>
      <c r="ACY34" s="107">
        <v>60000</v>
      </c>
      <c r="ACZ34" s="107">
        <v>60000</v>
      </c>
      <c r="ADB34" s="90">
        <f t="shared" si="479"/>
        <v>4.1100000000000003</v>
      </c>
      <c r="ADC34" s="90">
        <f t="shared" si="480"/>
        <v>8.68</v>
      </c>
      <c r="ADD34" s="90">
        <f t="shared" si="481"/>
        <v>4.18</v>
      </c>
      <c r="ADE34" s="90">
        <f t="shared" si="517"/>
        <v>1.51</v>
      </c>
      <c r="ADF34" s="90">
        <f t="shared" si="483"/>
        <v>1.05</v>
      </c>
      <c r="ADG34" s="90">
        <f t="shared" si="539"/>
        <v>0.46</v>
      </c>
      <c r="ADH34" s="90">
        <f t="shared" si="539"/>
        <v>0</v>
      </c>
      <c r="ADI34" s="90">
        <f t="shared" si="539"/>
        <v>0</v>
      </c>
      <c r="ADJ34" s="90">
        <f t="shared" si="485"/>
        <v>2.99</v>
      </c>
      <c r="ADK34" s="90">
        <f t="shared" si="486"/>
        <v>0</v>
      </c>
      <c r="ADL34" s="90">
        <f t="shared" si="487"/>
        <v>0</v>
      </c>
      <c r="ADM34" s="90">
        <f t="shared" si="540"/>
        <v>0</v>
      </c>
      <c r="ADN34" s="90">
        <f t="shared" si="540"/>
        <v>0</v>
      </c>
      <c r="ADO34" s="90">
        <f t="shared" si="489"/>
        <v>2.99</v>
      </c>
      <c r="ADP34" s="90">
        <f t="shared" si="490"/>
        <v>5.31</v>
      </c>
      <c r="ADQ34" s="90">
        <f t="shared" si="491"/>
        <v>0.73</v>
      </c>
      <c r="ADR34" s="90">
        <f t="shared" si="492"/>
        <v>18.829999999999998</v>
      </c>
      <c r="ADU34" s="90">
        <f t="shared" si="493"/>
        <v>1.1499999999999999</v>
      </c>
      <c r="ADV34" s="90">
        <f t="shared" si="494"/>
        <v>1.05</v>
      </c>
      <c r="ADW34" s="90">
        <f t="shared" si="495"/>
        <v>2.99</v>
      </c>
      <c r="ADX34" s="90">
        <f t="shared" si="496"/>
        <v>4.1100000000000003</v>
      </c>
      <c r="ADY34" s="90">
        <f t="shared" si="497"/>
        <v>9.07</v>
      </c>
      <c r="ADZ34" s="90">
        <f t="shared" si="498"/>
        <v>0</v>
      </c>
      <c r="AEA34" s="90">
        <f t="shared" si="499"/>
        <v>18.829999999999998</v>
      </c>
      <c r="AEB34" s="90">
        <f t="shared" si="500"/>
        <v>0</v>
      </c>
      <c r="AEC34" s="104">
        <f t="shared" si="501"/>
        <v>18.37</v>
      </c>
      <c r="AED34" s="104">
        <f t="shared" si="502"/>
        <v>0.4599999999999973</v>
      </c>
      <c r="AEG34" s="1">
        <v>7.9600000000000009</v>
      </c>
      <c r="AEH34" s="1">
        <v>4.21</v>
      </c>
      <c r="AEI34" s="1">
        <v>0.69</v>
      </c>
      <c r="AEJ34" s="1">
        <v>3.06</v>
      </c>
      <c r="AEK34" s="1">
        <v>0</v>
      </c>
      <c r="AEL34" s="1">
        <v>0</v>
      </c>
      <c r="AEM34" s="1">
        <v>0</v>
      </c>
      <c r="AEN34" s="1">
        <v>0</v>
      </c>
      <c r="AEO34" s="1">
        <v>0</v>
      </c>
      <c r="AEP34" s="1">
        <v>0</v>
      </c>
      <c r="AEQ34" s="1">
        <v>0</v>
      </c>
      <c r="AER34" s="1">
        <v>0</v>
      </c>
      <c r="AES34" s="1">
        <v>0</v>
      </c>
      <c r="AET34" s="1">
        <v>0</v>
      </c>
      <c r="AEU34" s="1">
        <v>0</v>
      </c>
      <c r="AEV34" s="1">
        <v>0.02</v>
      </c>
      <c r="AEW34" s="1">
        <v>3.91</v>
      </c>
      <c r="AEX34" s="1">
        <v>8.3699999999999992</v>
      </c>
      <c r="AEY34" s="1">
        <v>7.73</v>
      </c>
      <c r="AEZ34" s="1">
        <v>5.31</v>
      </c>
      <c r="AFA34" s="1">
        <v>0</v>
      </c>
      <c r="AFB34" s="1">
        <v>5.31</v>
      </c>
      <c r="AFC34" s="1">
        <v>227</v>
      </c>
      <c r="AFD34" s="1">
        <v>230.38</v>
      </c>
      <c r="AFE34" s="1">
        <v>0.52</v>
      </c>
      <c r="AFF34" s="1">
        <v>0.18</v>
      </c>
      <c r="AFG34" s="1">
        <v>0.11989898989898991</v>
      </c>
      <c r="AFH34" s="1">
        <v>0.17879999999999999</v>
      </c>
      <c r="AFI34" s="1">
        <v>0.38175323599898991</v>
      </c>
      <c r="AFJ34" s="1">
        <v>0.7</v>
      </c>
      <c r="AFK34" s="1">
        <v>17.88</v>
      </c>
      <c r="AFL34" s="1">
        <v>17.88</v>
      </c>
      <c r="AFM34" s="1">
        <v>0</v>
      </c>
      <c r="AFO34" s="1">
        <v>17.88</v>
      </c>
      <c r="AFP34" s="1">
        <v>0</v>
      </c>
      <c r="AFQ34" s="1">
        <v>17.88</v>
      </c>
      <c r="AFX34" s="1">
        <v>18.5</v>
      </c>
    </row>
    <row r="35" spans="1:856" s="1" customFormat="1" ht="63.75" customHeight="1">
      <c r="A35" s="88">
        <v>27</v>
      </c>
      <c r="B35" s="20"/>
      <c r="C35" s="89" t="s">
        <v>513</v>
      </c>
      <c r="D35" s="20"/>
      <c r="E35" s="20" t="s">
        <v>437</v>
      </c>
      <c r="F35" s="20" t="s">
        <v>438</v>
      </c>
      <c r="G35" s="20">
        <v>0.8</v>
      </c>
      <c r="H35" s="20">
        <v>301.3</v>
      </c>
      <c r="I35" s="20">
        <f>301.3+1.3</f>
        <v>302.60000000000002</v>
      </c>
      <c r="J35" s="20">
        <f t="shared" si="0"/>
        <v>242.08000000000004</v>
      </c>
      <c r="K35" s="20">
        <v>8</v>
      </c>
      <c r="L35" s="20"/>
      <c r="M35" s="20"/>
      <c r="N35" s="20"/>
      <c r="O35" s="90">
        <f t="shared" si="1"/>
        <v>0</v>
      </c>
      <c r="P35" s="20"/>
      <c r="Q35" s="20"/>
      <c r="R35" s="90">
        <f t="shared" si="2"/>
        <v>0</v>
      </c>
      <c r="S35" s="20">
        <v>32.799999999999997</v>
      </c>
      <c r="T35" s="20">
        <v>2.6</v>
      </c>
      <c r="U35" s="20">
        <v>3.13</v>
      </c>
      <c r="V35" s="91">
        <f t="shared" si="3"/>
        <v>266.93</v>
      </c>
      <c r="W35" s="20">
        <v>2.1000000000000001E-2</v>
      </c>
      <c r="X35" s="20">
        <f t="shared" si="4"/>
        <v>33.42</v>
      </c>
      <c r="Y35" s="91">
        <f t="shared" si="5"/>
        <v>23.02</v>
      </c>
      <c r="Z35" s="20"/>
      <c r="AA35" s="20"/>
      <c r="AB35" s="20"/>
      <c r="AC35" s="91">
        <f t="shared" si="6"/>
        <v>289.95</v>
      </c>
      <c r="AD35" s="90">
        <f t="shared" si="7"/>
        <v>0.96</v>
      </c>
      <c r="AE35" s="92">
        <f t="shared" si="8"/>
        <v>3479.3999999999996</v>
      </c>
      <c r="AF35" s="20">
        <v>25</v>
      </c>
      <c r="AG35" s="20">
        <v>24</v>
      </c>
      <c r="AH35" s="20">
        <v>24</v>
      </c>
      <c r="AI35" s="20">
        <v>21</v>
      </c>
      <c r="AJ35" s="20">
        <v>1.6</v>
      </c>
      <c r="AK35" s="90">
        <f t="shared" si="9"/>
        <v>3.2</v>
      </c>
      <c r="AL35" s="90">
        <v>391.01</v>
      </c>
      <c r="AM35" s="90">
        <f t="shared" si="10"/>
        <v>1251.23</v>
      </c>
      <c r="AN35" s="20">
        <v>25</v>
      </c>
      <c r="AO35" s="20">
        <v>24</v>
      </c>
      <c r="AP35" s="20">
        <v>25</v>
      </c>
      <c r="AQ35" s="20">
        <v>25</v>
      </c>
      <c r="AR35" s="20">
        <v>24</v>
      </c>
      <c r="AS35" s="20">
        <v>24</v>
      </c>
      <c r="AT35" s="20">
        <f t="shared" si="11"/>
        <v>1</v>
      </c>
      <c r="AU35" s="20">
        <v>1.6</v>
      </c>
      <c r="AV35" s="90">
        <f t="shared" si="12"/>
        <v>3.33</v>
      </c>
      <c r="AW35" s="90">
        <f t="shared" ref="AW35:AW40" si="548">ROUND((179.74*6+181.82*6)/12,2)</f>
        <v>180.78</v>
      </c>
      <c r="AX35" s="90">
        <v>578.5</v>
      </c>
      <c r="AY35" s="90">
        <f t="shared" si="14"/>
        <v>1.91</v>
      </c>
      <c r="AZ35" s="90">
        <f t="shared" si="15"/>
        <v>1303.3699999999999</v>
      </c>
      <c r="BA35" s="90">
        <f t="shared" si="16"/>
        <v>-724.86999999999989</v>
      </c>
      <c r="BB35" s="90">
        <v>578.5</v>
      </c>
      <c r="BC35" s="90">
        <v>1.91</v>
      </c>
      <c r="BD35" s="92">
        <f t="shared" si="17"/>
        <v>6942</v>
      </c>
      <c r="BE35" s="90"/>
      <c r="BF35" s="90">
        <f t="shared" si="18"/>
        <v>0</v>
      </c>
      <c r="BG35" s="90">
        <v>391.01</v>
      </c>
      <c r="BH35" s="90">
        <f t="shared" si="19"/>
        <v>1302.06</v>
      </c>
      <c r="BI35" s="90">
        <f t="shared" si="20"/>
        <v>4.3</v>
      </c>
      <c r="BJ35" s="90">
        <f t="shared" si="21"/>
        <v>225.13089005235599</v>
      </c>
      <c r="BK35" s="90">
        <f t="shared" si="22"/>
        <v>1302.06</v>
      </c>
      <c r="BL35" s="90">
        <f t="shared" si="23"/>
        <v>4.3</v>
      </c>
      <c r="BM35" s="90"/>
      <c r="BN35" s="90">
        <f t="shared" si="24"/>
        <v>0</v>
      </c>
      <c r="BO35" s="90">
        <f t="shared" si="25"/>
        <v>1302.06</v>
      </c>
      <c r="BP35" s="90">
        <f t="shared" si="26"/>
        <v>4.302908129543952</v>
      </c>
      <c r="BQ35" s="90"/>
      <c r="BR35" s="90">
        <f t="shared" si="27"/>
        <v>0</v>
      </c>
      <c r="BS35" s="90">
        <f t="shared" si="28"/>
        <v>1302.06</v>
      </c>
      <c r="BT35" s="90">
        <f t="shared" si="29"/>
        <v>4.302908129543952</v>
      </c>
      <c r="BU35" s="90"/>
      <c r="BV35" s="93">
        <v>1.4356370000000001</v>
      </c>
      <c r="BW35" s="90">
        <f t="shared" si="30"/>
        <v>434.42375620000007</v>
      </c>
      <c r="BX35" s="90">
        <f t="shared" si="31"/>
        <v>460.48918157200012</v>
      </c>
      <c r="BY35" s="90"/>
      <c r="BZ35" s="90"/>
      <c r="CA35" s="90">
        <v>0.2651</v>
      </c>
      <c r="CB35" s="90">
        <f t="shared" si="542"/>
        <v>80.219260000000006</v>
      </c>
      <c r="CC35" s="90">
        <v>0.71072749999999996</v>
      </c>
      <c r="CD35" s="90">
        <f t="shared" si="33"/>
        <v>57.014034111649998</v>
      </c>
      <c r="CE35" s="90">
        <f t="shared" si="34"/>
        <v>86.211009240075683</v>
      </c>
      <c r="CF35" s="90">
        <v>83.801073156681838</v>
      </c>
      <c r="CG35" s="90">
        <v>83.801073156681838</v>
      </c>
      <c r="CH35" s="90">
        <f t="shared" si="35"/>
        <v>87.82</v>
      </c>
      <c r="CI35" s="90">
        <f t="shared" si="524"/>
        <v>92.379818696331</v>
      </c>
      <c r="CJ35" s="90">
        <f t="shared" si="36"/>
        <v>92.65</v>
      </c>
      <c r="CK35" s="90">
        <f t="shared" si="37"/>
        <v>98.214775565964089</v>
      </c>
      <c r="CL35" s="90">
        <f t="shared" si="38"/>
        <v>98.214775565964089</v>
      </c>
      <c r="CM35" s="94">
        <v>0.14899999999999999</v>
      </c>
      <c r="CN35" s="90">
        <f t="shared" si="39"/>
        <v>64.729139673800006</v>
      </c>
      <c r="CO35" s="90">
        <f t="shared" si="40"/>
        <v>68.612888054228009</v>
      </c>
      <c r="CP35" s="90"/>
      <c r="CQ35" s="90">
        <v>3.9539251999999997E-2</v>
      </c>
      <c r="CR35" s="90">
        <f t="shared" si="543"/>
        <v>11.964577655199999</v>
      </c>
      <c r="CS35" s="90">
        <v>0.71072749999999996</v>
      </c>
      <c r="CT35" s="90">
        <f t="shared" si="42"/>
        <v>8.5035543654361572</v>
      </c>
      <c r="CU35" s="90">
        <f t="shared" si="43"/>
        <v>12.858237719795099</v>
      </c>
      <c r="CV35" s="90">
        <v>25.894801646519753</v>
      </c>
      <c r="CW35" s="90">
        <f t="shared" si="44"/>
        <v>27.14</v>
      </c>
      <c r="CX35" s="90">
        <f t="shared" si="525"/>
        <v>28.549171935987513</v>
      </c>
      <c r="CY35" s="90">
        <f t="shared" si="45"/>
        <v>28.63</v>
      </c>
      <c r="CZ35" s="90">
        <f t="shared" si="46"/>
        <v>30.352414129586258</v>
      </c>
      <c r="DA35" s="90">
        <f t="shared" si="47"/>
        <v>30.352414129586258</v>
      </c>
      <c r="DB35" s="93">
        <v>1.4169099999999999</v>
      </c>
      <c r="DC35" s="90">
        <f t="shared" si="48"/>
        <v>428.75696599999998</v>
      </c>
      <c r="DD35" s="90">
        <f t="shared" si="49"/>
        <v>454.48238395999999</v>
      </c>
      <c r="DE35" s="90"/>
      <c r="DF35" s="90"/>
      <c r="DG35" s="90">
        <v>0.16261500000000001</v>
      </c>
      <c r="DH35" s="90">
        <f t="shared" si="544"/>
        <v>49.207299000000006</v>
      </c>
      <c r="DI35" s="90">
        <v>0.71072749999999996</v>
      </c>
      <c r="DJ35" s="90">
        <f t="shared" si="51"/>
        <v>34.972980600022503</v>
      </c>
      <c r="DK35" s="90">
        <f t="shared" si="52"/>
        <v>52.882698104771436</v>
      </c>
      <c r="DL35" s="90">
        <v>41.655305422756264</v>
      </c>
      <c r="DM35" s="90">
        <f t="shared" si="53"/>
        <v>43.65</v>
      </c>
      <c r="DN35" s="90">
        <f t="shared" si="526"/>
        <v>45.916409543325528</v>
      </c>
      <c r="DO35" s="90">
        <f t="shared" si="54"/>
        <v>46.05</v>
      </c>
      <c r="DP35" s="90">
        <f t="shared" si="55"/>
        <v>48.816612997658076</v>
      </c>
      <c r="DQ35" s="90">
        <f t="shared" si="56"/>
        <v>48.816612997658076</v>
      </c>
      <c r="DR35" s="93">
        <v>5.6880149999999997E-2</v>
      </c>
      <c r="DS35" s="90">
        <f t="shared" si="57"/>
        <v>17.211933390000002</v>
      </c>
      <c r="DT35" s="90">
        <f t="shared" si="58"/>
        <v>18.244649393400003</v>
      </c>
      <c r="DU35" s="90"/>
      <c r="DV35" s="90">
        <v>6.1506E-3</v>
      </c>
      <c r="DW35" s="90">
        <f t="shared" si="545"/>
        <v>1.8611715600000001</v>
      </c>
      <c r="DX35" s="90">
        <v>0.71072749999999996</v>
      </c>
      <c r="DY35" s="90">
        <f t="shared" si="60"/>
        <v>1.3227858099098999</v>
      </c>
      <c r="DZ35" s="90">
        <f t="shared" si="61"/>
        <v>2.0001864708864936</v>
      </c>
      <c r="EA35" s="90">
        <f t="shared" si="62"/>
        <v>2.1</v>
      </c>
      <c r="EB35" s="90">
        <f t="shared" si="527"/>
        <v>2.2090368852459017</v>
      </c>
      <c r="EC35" s="90">
        <f t="shared" si="63"/>
        <v>2.2200000000000002</v>
      </c>
      <c r="ED35" s="90">
        <f t="shared" si="64"/>
        <v>2.3485655737704914</v>
      </c>
      <c r="EE35" s="90">
        <f t="shared" si="65"/>
        <v>2.3485655737704914</v>
      </c>
      <c r="EF35" s="94">
        <v>0.85293354333000004</v>
      </c>
      <c r="EG35" s="90">
        <f t="shared" si="66"/>
        <v>206.47815216932645</v>
      </c>
      <c r="EH35" s="90">
        <f t="shared" si="67"/>
        <v>218.86684129948605</v>
      </c>
      <c r="EI35" s="90"/>
      <c r="EJ35" s="90">
        <v>0.58975</v>
      </c>
      <c r="EK35" s="90">
        <f t="shared" si="68"/>
        <v>142.76668000000004</v>
      </c>
      <c r="EL35" s="90">
        <v>0.71072749999999996</v>
      </c>
      <c r="EM35" s="90">
        <f t="shared" si="69"/>
        <v>101.46820555970002</v>
      </c>
      <c r="EN35" s="90">
        <f t="shared" si="70"/>
        <v>153.43023070338631</v>
      </c>
      <c r="EO35" s="90">
        <v>148.98916193054015</v>
      </c>
      <c r="EP35" s="90">
        <f t="shared" si="71"/>
        <v>156.13999999999999</v>
      </c>
      <c r="EQ35" s="90">
        <f t="shared" si="528"/>
        <v>164.24715202966433</v>
      </c>
      <c r="ER35" s="90">
        <f t="shared" si="72"/>
        <v>164.73</v>
      </c>
      <c r="ES35" s="90">
        <f t="shared" si="73"/>
        <v>174.62144223263073</v>
      </c>
      <c r="ET35" s="90">
        <f t="shared" si="74"/>
        <v>174.62144223263073</v>
      </c>
      <c r="EU35" s="94">
        <v>0.14899999999999999</v>
      </c>
      <c r="EV35" s="90">
        <f t="shared" si="75"/>
        <v>30.765244673229638</v>
      </c>
      <c r="EW35" s="90">
        <f t="shared" si="76"/>
        <v>32.611159353623421</v>
      </c>
      <c r="EX35" s="90"/>
      <c r="EY35" s="90">
        <v>8.7870000000000004E-2</v>
      </c>
      <c r="EZ35" s="90">
        <f t="shared" si="77"/>
        <v>21.271569600000003</v>
      </c>
      <c r="FA35" s="90">
        <v>0.71072749999999996</v>
      </c>
      <c r="FB35" s="90">
        <f t="shared" si="78"/>
        <v>15.118289482884002</v>
      </c>
      <c r="FC35" s="90">
        <f t="shared" si="79"/>
        <v>22.860388930744477</v>
      </c>
      <c r="FD35" s="90">
        <v>46.069869450106339</v>
      </c>
      <c r="FE35" s="90">
        <f t="shared" si="80"/>
        <v>48.28</v>
      </c>
      <c r="FF35" s="90">
        <f t="shared" si="529"/>
        <v>50.786809914129599</v>
      </c>
      <c r="FG35" s="90">
        <f t="shared" si="81"/>
        <v>50.94</v>
      </c>
      <c r="FH35" s="90">
        <f t="shared" si="82"/>
        <v>53.994640905542546</v>
      </c>
      <c r="FI35" s="90">
        <f t="shared" si="83"/>
        <v>53.994640905542546</v>
      </c>
      <c r="FJ35" s="93">
        <v>0.49981642240000002</v>
      </c>
      <c r="FK35" s="90">
        <f t="shared" si="84"/>
        <v>120.99555953459202</v>
      </c>
      <c r="FL35" s="90">
        <f t="shared" si="85"/>
        <v>128.25529310666755</v>
      </c>
      <c r="FM35" s="90"/>
      <c r="FN35" s="90">
        <v>0.35812500000000003</v>
      </c>
      <c r="FO35" s="90">
        <f t="shared" si="86"/>
        <v>86.694900000000018</v>
      </c>
      <c r="FP35" s="90">
        <v>0.71072749999999996</v>
      </c>
      <c r="FQ35" s="90">
        <f t="shared" si="87"/>
        <v>61.616449539750008</v>
      </c>
      <c r="FR35" s="90">
        <f t="shared" si="88"/>
        <v>93.170328733616316</v>
      </c>
      <c r="FS35" s="90">
        <v>73.131094498704897</v>
      </c>
      <c r="FT35" s="90">
        <f t="shared" si="89"/>
        <v>76.64</v>
      </c>
      <c r="FU35" s="90">
        <v>73.192249699340664</v>
      </c>
      <c r="FV35" s="90">
        <f t="shared" si="90"/>
        <v>76.709999999999994</v>
      </c>
      <c r="FW35" s="90">
        <f t="shared" si="530"/>
        <v>80.692961651053864</v>
      </c>
      <c r="FX35" s="90">
        <f t="shared" si="91"/>
        <v>80.930000000000007</v>
      </c>
      <c r="FY35" s="90">
        <f t="shared" si="92"/>
        <v>85.789745316159241</v>
      </c>
      <c r="FZ35" s="90">
        <f t="shared" si="93"/>
        <v>85.789745316159241</v>
      </c>
      <c r="GA35" s="94">
        <v>1.352261642E-2</v>
      </c>
      <c r="GB35" s="90">
        <f t="shared" si="94"/>
        <v>3.2735549829536006</v>
      </c>
      <c r="GC35" s="90">
        <f t="shared" si="95"/>
        <v>3.4699682819308166</v>
      </c>
      <c r="GD35" s="90"/>
      <c r="GE35" s="90">
        <v>1.0749999999999999E-2</v>
      </c>
      <c r="GF35" s="90">
        <f t="shared" si="96"/>
        <v>2.6023600000000005</v>
      </c>
      <c r="GG35" s="90">
        <v>0.71072749999999996</v>
      </c>
      <c r="GH35" s="90">
        <f t="shared" si="97"/>
        <v>1.8495688169000002</v>
      </c>
      <c r="GI35" s="90">
        <f t="shared" si="98"/>
        <v>2.7967358712359522</v>
      </c>
      <c r="GJ35" s="90">
        <f t="shared" si="99"/>
        <v>2.93</v>
      </c>
      <c r="GK35" s="90">
        <f t="shared" si="531"/>
        <v>3.0821324160811869</v>
      </c>
      <c r="GL35" s="90">
        <f t="shared" si="100"/>
        <v>3.09</v>
      </c>
      <c r="GM35" s="90">
        <f t="shared" si="101"/>
        <v>3.2768081576893051</v>
      </c>
      <c r="GN35" s="90">
        <f t="shared" si="102"/>
        <v>3.2768081576893051</v>
      </c>
      <c r="GO35" s="90">
        <v>1612.8</v>
      </c>
      <c r="GP35" s="90">
        <f t="shared" si="103"/>
        <v>134.4</v>
      </c>
      <c r="GQ35" s="90">
        <f>1058.4+69.3</f>
        <v>1127.7</v>
      </c>
      <c r="GR35" s="90">
        <f t="shared" si="104"/>
        <v>93.975000000000009</v>
      </c>
      <c r="GS35" s="90">
        <f t="shared" si="105"/>
        <v>228.375</v>
      </c>
      <c r="GT35" s="90">
        <f t="shared" si="106"/>
        <v>0.75</v>
      </c>
      <c r="GU35" s="90">
        <v>1842.24</v>
      </c>
      <c r="GV35" s="90">
        <f>1003.2+66.12</f>
        <v>1069.3200000000002</v>
      </c>
      <c r="GW35" s="90">
        <f t="shared" si="107"/>
        <v>242.63000000000002</v>
      </c>
      <c r="GX35" s="90">
        <f t="shared" si="108"/>
        <v>0.8</v>
      </c>
      <c r="GY35" s="90">
        <v>3292.32</v>
      </c>
      <c r="GZ35" s="90">
        <f>1067.04+70.68</f>
        <v>1137.72</v>
      </c>
      <c r="HA35" s="90">
        <f t="shared" si="109"/>
        <v>369.17</v>
      </c>
      <c r="HB35" s="90">
        <f t="shared" si="110"/>
        <v>1.22</v>
      </c>
      <c r="HC35" s="90">
        <v>3292.32</v>
      </c>
      <c r="HD35" s="90">
        <f>1067.04+70.68</f>
        <v>1137.72</v>
      </c>
      <c r="HE35" s="90">
        <f t="shared" si="111"/>
        <v>369.17</v>
      </c>
      <c r="HF35" s="90">
        <f t="shared" si="112"/>
        <v>1.22</v>
      </c>
      <c r="HG35" s="90"/>
      <c r="HH35" s="90"/>
      <c r="HI35" s="90">
        <v>0.96</v>
      </c>
      <c r="HJ35" s="90">
        <f t="shared" si="113"/>
        <v>290.49600000000004</v>
      </c>
      <c r="HK35" s="90">
        <f t="shared" si="114"/>
        <v>1.0060806345009914</v>
      </c>
      <c r="HL35" s="90">
        <f t="shared" si="115"/>
        <v>304.44</v>
      </c>
      <c r="HM35" s="90">
        <v>1.07</v>
      </c>
      <c r="HN35" s="90">
        <f t="shared" si="116"/>
        <v>323.78200000000004</v>
      </c>
      <c r="HO35" s="90">
        <v>1.1499999999999999</v>
      </c>
      <c r="HP35" s="90">
        <f t="shared" si="117"/>
        <v>347.99</v>
      </c>
      <c r="HQ35" s="90">
        <v>1.1499999999999999</v>
      </c>
      <c r="HR35" s="90">
        <f t="shared" si="118"/>
        <v>347.99</v>
      </c>
      <c r="HS35" s="90">
        <v>0.31919999999999998</v>
      </c>
      <c r="HT35" s="90">
        <f t="shared" si="119"/>
        <v>96.589920000000006</v>
      </c>
      <c r="HU35" s="90" t="e">
        <f>HT35*#REF!</f>
        <v>#REF!</v>
      </c>
      <c r="HV35" s="90">
        <v>2.83</v>
      </c>
      <c r="HW35" s="90">
        <v>3.1</v>
      </c>
      <c r="HX35" s="90">
        <f t="shared" si="120"/>
        <v>938.06000000000006</v>
      </c>
      <c r="HY35" s="90">
        <v>1.06</v>
      </c>
      <c r="HZ35" s="90">
        <f t="shared" si="121"/>
        <v>994.34360000000015</v>
      </c>
      <c r="IA35" s="90">
        <f t="shared" si="122"/>
        <v>3.29</v>
      </c>
      <c r="IB35" s="90">
        <f t="shared" si="123"/>
        <v>3.45</v>
      </c>
      <c r="IC35" s="90">
        <f t="shared" si="124"/>
        <v>1043.97</v>
      </c>
      <c r="ID35" s="90">
        <f t="shared" si="125"/>
        <v>3.64</v>
      </c>
      <c r="IE35" s="90">
        <f t="shared" si="126"/>
        <v>1101.46</v>
      </c>
      <c r="IF35" s="90">
        <f t="shared" si="127"/>
        <v>3.64</v>
      </c>
      <c r="IG35" s="92">
        <f t="shared" si="128"/>
        <v>13217.52</v>
      </c>
      <c r="IH35" s="90">
        <v>3.91</v>
      </c>
      <c r="II35" s="90">
        <f t="shared" si="129"/>
        <v>4.1100000000000003</v>
      </c>
      <c r="IJ35" s="90">
        <f t="shared" si="130"/>
        <v>1243.69</v>
      </c>
      <c r="IK35" s="90">
        <f t="shared" si="131"/>
        <v>4.1100000000000003</v>
      </c>
      <c r="IL35" s="90">
        <f t="shared" si="132"/>
        <v>1243.69</v>
      </c>
      <c r="IM35" s="90">
        <f t="shared" si="133"/>
        <v>4.1100000000000003</v>
      </c>
      <c r="IN35" s="90">
        <f t="shared" si="134"/>
        <v>1243.69</v>
      </c>
      <c r="IO35" s="90">
        <f t="shared" si="135"/>
        <v>4.1100000000000003</v>
      </c>
      <c r="IP35" s="93">
        <v>0.37052404126999999</v>
      </c>
      <c r="IQ35" s="90">
        <f t="shared" si="136"/>
        <v>89.696459910641607</v>
      </c>
      <c r="IR35" s="90">
        <f t="shared" si="137"/>
        <v>95.078247505280103</v>
      </c>
      <c r="IS35" s="90">
        <v>108693.96</v>
      </c>
      <c r="IT35" s="90">
        <v>3053.33</v>
      </c>
      <c r="IU35" s="94"/>
      <c r="IV35" s="94"/>
      <c r="IW35" s="94">
        <v>1.6976249999999999</v>
      </c>
      <c r="IX35" s="90">
        <f t="shared" si="138"/>
        <v>410.96106000000003</v>
      </c>
      <c r="IY35" s="93">
        <v>0.56339614052999998</v>
      </c>
      <c r="IZ35" s="90">
        <f t="shared" si="139"/>
        <v>170.48367212437802</v>
      </c>
      <c r="JA35" s="90">
        <f t="shared" si="140"/>
        <v>178.67</v>
      </c>
      <c r="JB35" s="90">
        <f t="shared" si="532"/>
        <v>187.94696204137392</v>
      </c>
      <c r="JC35" s="90">
        <f t="shared" si="141"/>
        <v>188.5</v>
      </c>
      <c r="JD35" s="90">
        <f t="shared" si="142"/>
        <v>199.8181957455113</v>
      </c>
      <c r="JE35" s="90">
        <f t="shared" si="143"/>
        <v>199.8181957455113</v>
      </c>
      <c r="JF35" s="93">
        <v>4.2278943710000003E-2</v>
      </c>
      <c r="JG35" s="90">
        <f t="shared" si="144"/>
        <v>10.234886693316803</v>
      </c>
      <c r="JH35" s="90">
        <f t="shared" si="145"/>
        <v>10.848979894915811</v>
      </c>
      <c r="JI35" s="20">
        <v>462.98</v>
      </c>
      <c r="JJ35" s="20"/>
      <c r="JK35" s="20">
        <v>6.0624999999999998E-2</v>
      </c>
      <c r="JL35" s="90">
        <f t="shared" si="146"/>
        <v>14.676100000000002</v>
      </c>
      <c r="JM35" s="93">
        <v>6.7347080040000007E-2</v>
      </c>
      <c r="JN35" s="90">
        <f t="shared" si="147"/>
        <v>20.379226420104004</v>
      </c>
      <c r="JO35" s="90">
        <f t="shared" si="148"/>
        <v>21.36</v>
      </c>
      <c r="JP35" s="90">
        <f t="shared" si="533"/>
        <v>22.469060889929743</v>
      </c>
      <c r="JQ35" s="90">
        <f t="shared" si="149"/>
        <v>22.53</v>
      </c>
      <c r="JR35" s="90">
        <f t="shared" si="150"/>
        <v>23.888266978922715</v>
      </c>
      <c r="JS35" s="90">
        <f t="shared" si="151"/>
        <v>23.888266978922715</v>
      </c>
      <c r="JT35" s="93">
        <v>7.3220517000000002E-3</v>
      </c>
      <c r="JU35" s="90">
        <f t="shared" si="152"/>
        <v>1.7725222755360004</v>
      </c>
      <c r="JV35" s="90">
        <f t="shared" si="153"/>
        <v>1.86</v>
      </c>
      <c r="JW35" s="90">
        <f t="shared" si="534"/>
        <v>1.9565755269320846</v>
      </c>
      <c r="JX35" s="90">
        <f t="shared" si="154"/>
        <v>1.96</v>
      </c>
      <c r="JY35" s="90">
        <f t="shared" si="155"/>
        <v>2.080158079625293</v>
      </c>
      <c r="JZ35" s="90">
        <f t="shared" si="156"/>
        <v>2.080158079625293</v>
      </c>
      <c r="KA35" s="90">
        <v>8.3090999999999998E-3</v>
      </c>
      <c r="KB35" s="90">
        <f t="shared" si="157"/>
        <v>2.0114669280000004</v>
      </c>
      <c r="KC35" s="90" t="e">
        <f>KB35*#REF!</f>
        <v>#REF!</v>
      </c>
      <c r="KD35" s="90">
        <v>34406.519999999997</v>
      </c>
      <c r="KE35" s="90">
        <v>40292.97</v>
      </c>
      <c r="KF35" s="90"/>
      <c r="KG35" s="90">
        <f t="shared" si="546"/>
        <v>354.37041357277644</v>
      </c>
      <c r="KH35" s="90" t="e">
        <f>KG35/(BW35+#REF!)*(CB35+#REF!)</f>
        <v>#REF!</v>
      </c>
      <c r="KI35" s="90">
        <v>0.8</v>
      </c>
      <c r="KJ35" s="94"/>
      <c r="KK35" s="90">
        <f t="shared" si="159"/>
        <v>0</v>
      </c>
      <c r="KL35" s="93">
        <v>1.2690177</v>
      </c>
      <c r="KM35" s="90">
        <f t="shared" si="160"/>
        <v>384.00475602000006</v>
      </c>
      <c r="KN35" s="90">
        <f t="shared" si="161"/>
        <v>407.04504138120006</v>
      </c>
      <c r="KO35" s="90" t="e">
        <f>BW35+CN35+DC35+DS35+EG35+EV35+FK35+GB35+#REF!+#REF!+HJ35+HX35+IQ35+JG35+JU35+KK35+KM35</f>
        <v>#REF!</v>
      </c>
      <c r="KP35" s="90"/>
      <c r="KQ35" s="90">
        <v>0.50815001599999998</v>
      </c>
      <c r="KR35" s="90">
        <f t="shared" si="514"/>
        <v>153.7661948416</v>
      </c>
      <c r="KS35" s="90">
        <v>0.71072749999999996</v>
      </c>
      <c r="KT35" s="90">
        <f t="shared" si="163"/>
        <v>109.28586324428325</v>
      </c>
      <c r="KU35" s="90">
        <f t="shared" si="164"/>
        <v>165.2513229902701</v>
      </c>
      <c r="KV35" s="90">
        <f t="shared" si="165"/>
        <v>173.18</v>
      </c>
      <c r="KW35" s="90">
        <f t="shared" si="535"/>
        <v>182.17190846994538</v>
      </c>
      <c r="KX35" s="90">
        <f t="shared" si="166"/>
        <v>182.7</v>
      </c>
      <c r="KY35" s="90">
        <f t="shared" si="167"/>
        <v>193.67837431693988</v>
      </c>
      <c r="KZ35" s="90">
        <f t="shared" si="168"/>
        <v>193.67837431693988</v>
      </c>
      <c r="LA35" s="90">
        <f t="shared" si="169"/>
        <v>1186.19</v>
      </c>
      <c r="LB35" s="90">
        <f t="shared" si="170"/>
        <v>3.92</v>
      </c>
      <c r="LC35" s="92">
        <f t="shared" si="171"/>
        <v>14234.28</v>
      </c>
      <c r="LD35" s="92">
        <v>4.21</v>
      </c>
      <c r="LE35" s="92">
        <v>1273.9500000000003</v>
      </c>
      <c r="LF35" s="90">
        <f t="shared" si="172"/>
        <v>4.18</v>
      </c>
      <c r="LG35" s="90">
        <f t="shared" si="173"/>
        <v>1264.8699999999999</v>
      </c>
      <c r="LH35" s="90">
        <f t="shared" si="174"/>
        <v>1275.15425</v>
      </c>
      <c r="LI35" s="90">
        <f t="shared" si="175"/>
        <v>4.21</v>
      </c>
      <c r="LJ35" s="90">
        <f t="shared" si="176"/>
        <v>1264.8699999999999</v>
      </c>
      <c r="LK35" s="90">
        <f t="shared" si="177"/>
        <v>4.18</v>
      </c>
      <c r="LL35" s="90">
        <f t="shared" si="178"/>
        <v>1264.8699999999999</v>
      </c>
      <c r="LM35" s="90">
        <f t="shared" si="179"/>
        <v>4.18</v>
      </c>
      <c r="LN35" s="95">
        <v>0.46</v>
      </c>
      <c r="LO35" s="95">
        <f t="shared" si="180"/>
        <v>139.19999999999999</v>
      </c>
      <c r="LP35" s="95"/>
      <c r="LQ35" s="95">
        <f t="shared" si="181"/>
        <v>0</v>
      </c>
      <c r="LR35" s="90"/>
      <c r="LS35" s="90"/>
      <c r="LT35" s="90">
        <f t="shared" si="182"/>
        <v>0</v>
      </c>
      <c r="LU35" s="90"/>
      <c r="LV35" s="90">
        <f t="shared" si="183"/>
        <v>0</v>
      </c>
      <c r="LW35" s="90">
        <f t="shared" si="184"/>
        <v>0</v>
      </c>
      <c r="LX35" s="90"/>
      <c r="LY35" s="90"/>
      <c r="LZ35" s="90">
        <f t="shared" si="185"/>
        <v>0</v>
      </c>
      <c r="MA35" s="90"/>
      <c r="MB35" s="90">
        <f t="shared" si="186"/>
        <v>0</v>
      </c>
      <c r="MC35" s="90">
        <f t="shared" si="187"/>
        <v>0</v>
      </c>
      <c r="MD35" s="90"/>
      <c r="ME35" s="90"/>
      <c r="MF35" s="90">
        <f t="shared" si="188"/>
        <v>0</v>
      </c>
      <c r="MG35" s="90"/>
      <c r="MH35" s="90">
        <f t="shared" si="189"/>
        <v>0</v>
      </c>
      <c r="MI35" s="90">
        <f t="shared" si="190"/>
        <v>0</v>
      </c>
      <c r="MJ35" s="90"/>
      <c r="MK35" s="90"/>
      <c r="ML35" s="90">
        <f t="shared" si="191"/>
        <v>0</v>
      </c>
      <c r="MM35" s="90"/>
      <c r="MN35" s="90">
        <f t="shared" si="192"/>
        <v>0</v>
      </c>
      <c r="MO35" s="90">
        <f t="shared" si="193"/>
        <v>0</v>
      </c>
      <c r="MP35" s="90">
        <f t="shared" si="194"/>
        <v>0</v>
      </c>
      <c r="MQ35" s="90">
        <f t="shared" si="195"/>
        <v>0</v>
      </c>
      <c r="MR35" s="90">
        <f t="shared" si="196"/>
        <v>0</v>
      </c>
      <c r="MS35" s="90">
        <f t="shared" si="197"/>
        <v>0</v>
      </c>
      <c r="MT35" s="95"/>
      <c r="MU35" s="95">
        <f t="shared" si="198"/>
        <v>0</v>
      </c>
      <c r="MV35" s="92">
        <f t="shared" si="199"/>
        <v>0</v>
      </c>
      <c r="MW35" s="95"/>
      <c r="MX35" s="95">
        <f t="shared" si="200"/>
        <v>0</v>
      </c>
      <c r="MY35" s="95"/>
      <c r="MZ35" s="95">
        <f t="shared" si="201"/>
        <v>0</v>
      </c>
      <c r="NA35" s="95"/>
      <c r="NB35" s="95">
        <f t="shared" si="202"/>
        <v>0</v>
      </c>
      <c r="NC35" s="92">
        <f t="shared" si="203"/>
        <v>0</v>
      </c>
      <c r="ND35" s="95"/>
      <c r="NE35" s="95">
        <f t="shared" si="204"/>
        <v>0</v>
      </c>
      <c r="NF35" s="95"/>
      <c r="NG35" s="95">
        <f t="shared" si="205"/>
        <v>0</v>
      </c>
      <c r="NH35" s="95"/>
      <c r="NI35" s="95"/>
      <c r="NJ35" s="95">
        <f t="shared" si="206"/>
        <v>0</v>
      </c>
      <c r="NK35" s="92">
        <f t="shared" si="207"/>
        <v>0</v>
      </c>
      <c r="NL35" s="95"/>
      <c r="NM35" s="95">
        <f t="shared" si="208"/>
        <v>0</v>
      </c>
      <c r="NN35" s="95"/>
      <c r="NO35" s="95">
        <f t="shared" si="209"/>
        <v>0</v>
      </c>
      <c r="NP35" s="95"/>
      <c r="NQ35" s="95">
        <f t="shared" si="210"/>
        <v>0</v>
      </c>
      <c r="NR35" s="92">
        <f t="shared" si="211"/>
        <v>0</v>
      </c>
      <c r="NS35" s="95"/>
      <c r="NT35" s="95">
        <f t="shared" si="212"/>
        <v>0</v>
      </c>
      <c r="NU35" s="95"/>
      <c r="NV35" s="95">
        <f t="shared" si="213"/>
        <v>0</v>
      </c>
      <c r="NW35" s="95"/>
      <c r="NX35" s="95">
        <f t="shared" si="214"/>
        <v>0</v>
      </c>
      <c r="NY35" s="92">
        <f t="shared" si="215"/>
        <v>0</v>
      </c>
      <c r="NZ35" s="95"/>
      <c r="OA35" s="95">
        <f t="shared" si="216"/>
        <v>0</v>
      </c>
      <c r="OB35" s="95"/>
      <c r="OC35" s="95">
        <f t="shared" si="217"/>
        <v>0</v>
      </c>
      <c r="OD35" s="90">
        <v>1730.87</v>
      </c>
      <c r="OE35" s="90">
        <f t="shared" si="218"/>
        <v>5.72</v>
      </c>
      <c r="OF35" s="92">
        <f t="shared" si="219"/>
        <v>20770.439999999999</v>
      </c>
      <c r="OG35" s="96">
        <v>578.5</v>
      </c>
      <c r="OH35" s="96">
        <v>1.91</v>
      </c>
      <c r="OI35" s="90">
        <v>2305.81</v>
      </c>
      <c r="OJ35" s="90">
        <f t="shared" si="220"/>
        <v>7.62</v>
      </c>
      <c r="OK35" s="90">
        <f t="shared" si="221"/>
        <v>2309.37</v>
      </c>
      <c r="OL35" s="90">
        <f t="shared" si="222"/>
        <v>7.63</v>
      </c>
      <c r="OM35" s="90">
        <f t="shared" si="223"/>
        <v>-9.9999999999997868E-3</v>
      </c>
      <c r="ON35" s="90">
        <v>1727.85</v>
      </c>
      <c r="OO35" s="90">
        <f t="shared" si="224"/>
        <v>5.71</v>
      </c>
      <c r="OP35" s="90">
        <v>1727.31</v>
      </c>
      <c r="OQ35" s="90">
        <v>5.71</v>
      </c>
      <c r="OR35" s="90">
        <f t="shared" si="225"/>
        <v>0</v>
      </c>
      <c r="OS35" s="90">
        <f t="shared" si="226"/>
        <v>5.71</v>
      </c>
      <c r="OT35" s="90">
        <v>1727.85</v>
      </c>
      <c r="OU35" s="90">
        <f t="shared" si="227"/>
        <v>5.71</v>
      </c>
      <c r="OV35" s="97">
        <v>1425.25</v>
      </c>
      <c r="OW35" s="90">
        <f t="shared" si="228"/>
        <v>1425.25</v>
      </c>
      <c r="OX35" s="90">
        <f t="shared" si="229"/>
        <v>4.71</v>
      </c>
      <c r="OY35" s="90">
        <f>OU35-1</f>
        <v>4.71</v>
      </c>
      <c r="OZ35" s="90"/>
      <c r="PA35" s="90"/>
      <c r="PB35" s="95">
        <f t="shared" si="230"/>
        <v>0</v>
      </c>
      <c r="PC35" s="92">
        <f t="shared" si="231"/>
        <v>0</v>
      </c>
      <c r="PD35" s="90"/>
      <c r="PE35" s="95">
        <f t="shared" si="232"/>
        <v>0</v>
      </c>
      <c r="PF35" s="90">
        <f t="shared" si="233"/>
        <v>4825.3950000000004</v>
      </c>
      <c r="PG35" s="90">
        <f t="shared" si="234"/>
        <v>15.95</v>
      </c>
      <c r="PH35" s="90">
        <f t="shared" si="235"/>
        <v>5744.24</v>
      </c>
      <c r="PI35" s="90">
        <f t="shared" si="236"/>
        <v>18.98</v>
      </c>
      <c r="PJ35" s="90">
        <f t="shared" si="237"/>
        <v>5744.24</v>
      </c>
      <c r="PK35" s="90">
        <f t="shared" si="238"/>
        <v>18.98</v>
      </c>
      <c r="PL35" s="90"/>
      <c r="PM35" s="90">
        <f t="shared" si="239"/>
        <v>144.76</v>
      </c>
      <c r="PN35" s="90">
        <f t="shared" si="240"/>
        <v>0.48</v>
      </c>
      <c r="PO35" s="92">
        <f t="shared" si="241"/>
        <v>1737.12</v>
      </c>
      <c r="PP35" s="90">
        <f t="shared" si="242"/>
        <v>172.33</v>
      </c>
      <c r="PQ35" s="90">
        <f t="shared" si="243"/>
        <v>0.56999999999999995</v>
      </c>
      <c r="PR35" s="90">
        <f t="shared" si="244"/>
        <v>172.33</v>
      </c>
      <c r="PS35" s="90">
        <f t="shared" si="245"/>
        <v>0.56999999999999995</v>
      </c>
      <c r="PT35" s="90">
        <f t="shared" si="246"/>
        <v>4970.1550000000007</v>
      </c>
      <c r="PU35" s="90">
        <f t="shared" si="247"/>
        <v>16.420000000000002</v>
      </c>
      <c r="PV35" s="90">
        <f t="shared" si="248"/>
        <v>5916.57</v>
      </c>
      <c r="PW35" s="90">
        <f t="shared" si="249"/>
        <v>19.55</v>
      </c>
      <c r="PX35" s="90">
        <f t="shared" si="250"/>
        <v>5916.57</v>
      </c>
      <c r="PY35" s="90">
        <f t="shared" si="251"/>
        <v>19.55</v>
      </c>
      <c r="PZ35" s="90">
        <f t="shared" si="252"/>
        <v>50.2</v>
      </c>
      <c r="QA35" s="90">
        <f t="shared" si="253"/>
        <v>0.17</v>
      </c>
      <c r="QB35" s="92">
        <f t="shared" si="254"/>
        <v>602.40000000000009</v>
      </c>
      <c r="QC35" s="90">
        <f t="shared" si="255"/>
        <v>59.76</v>
      </c>
      <c r="QD35" s="90">
        <f t="shared" si="256"/>
        <v>0.2</v>
      </c>
      <c r="QE35" s="90">
        <f t="shared" si="257"/>
        <v>59.76</v>
      </c>
      <c r="QF35" s="90">
        <f t="shared" si="258"/>
        <v>0.2</v>
      </c>
      <c r="QG35" s="90">
        <f t="shared" si="259"/>
        <v>5020.3550000000005</v>
      </c>
      <c r="QH35" s="90">
        <f t="shared" si="260"/>
        <v>16.59</v>
      </c>
      <c r="QI35" s="92">
        <f t="shared" si="261"/>
        <v>60244.260000000009</v>
      </c>
      <c r="QJ35" s="90">
        <f t="shared" si="262"/>
        <v>198.76190846994538</v>
      </c>
      <c r="QK35" s="98">
        <f t="shared" si="263"/>
        <v>0.21869999999999998</v>
      </c>
      <c r="QL35" s="90">
        <f t="shared" si="264"/>
        <v>66.178619999999995</v>
      </c>
      <c r="QM35" s="90">
        <f t="shared" si="265"/>
        <v>0.14579999999999999</v>
      </c>
      <c r="QN35" s="90">
        <f t="shared" si="266"/>
        <v>44.119079999999997</v>
      </c>
      <c r="QO35" s="90">
        <v>0.21869999999999998</v>
      </c>
      <c r="QP35" s="90">
        <v>0.14579999999999999</v>
      </c>
      <c r="QQ35" s="97">
        <f t="shared" si="267"/>
        <v>110.29769999999999</v>
      </c>
      <c r="QR35" s="97">
        <v>109.82384999999999</v>
      </c>
      <c r="QS35" s="97">
        <f t="shared" si="268"/>
        <v>0.47384999999999877</v>
      </c>
      <c r="QT35" s="90"/>
      <c r="QU35" s="90">
        <f t="shared" si="269"/>
        <v>0.14579999999999999</v>
      </c>
      <c r="QV35" s="90">
        <f t="shared" si="270"/>
        <v>44.119079999999997</v>
      </c>
      <c r="QW35" s="90">
        <f t="shared" si="271"/>
        <v>110.29769999999999</v>
      </c>
      <c r="QX35" s="90">
        <f t="shared" si="272"/>
        <v>0.36449999999999994</v>
      </c>
      <c r="QY35" s="90"/>
      <c r="QZ35" s="90"/>
      <c r="RA35" s="90"/>
      <c r="RB35" s="90">
        <v>1121.3399999999999</v>
      </c>
      <c r="RC35" s="97">
        <f t="shared" si="273"/>
        <v>5020.3550000000005</v>
      </c>
      <c r="RD35" s="97">
        <f t="shared" si="274"/>
        <v>16.59</v>
      </c>
      <c r="RE35" s="90">
        <f t="shared" si="275"/>
        <v>5976.33</v>
      </c>
      <c r="RF35" s="90">
        <f t="shared" si="276"/>
        <v>19.75</v>
      </c>
      <c r="RG35" s="90">
        <f t="shared" si="277"/>
        <v>119.04761904761905</v>
      </c>
      <c r="RH35" s="90">
        <f t="shared" si="278"/>
        <v>5976.33</v>
      </c>
      <c r="RI35" s="90">
        <f t="shared" si="279"/>
        <v>19.75</v>
      </c>
      <c r="RJ35" s="90">
        <v>19.36</v>
      </c>
      <c r="RK35" s="90">
        <v>0</v>
      </c>
      <c r="RL35" s="90">
        <f t="shared" si="280"/>
        <v>0.39000000000000057</v>
      </c>
      <c r="RM35" s="90">
        <f t="shared" si="281"/>
        <v>105.89812332439676</v>
      </c>
      <c r="RN35" s="90">
        <f t="shared" si="282"/>
        <v>3250.0750000000003</v>
      </c>
      <c r="RO35" s="90"/>
      <c r="RP35" s="90"/>
      <c r="RQ35" s="99">
        <v>569</v>
      </c>
      <c r="RR35" s="90">
        <f t="shared" si="283"/>
        <v>3289.4849999999997</v>
      </c>
      <c r="RS35" s="90">
        <f t="shared" si="284"/>
        <v>10.870736946463976</v>
      </c>
      <c r="RT35" s="90">
        <f t="shared" ref="RT35:RT39" si="549">11.28+3.3</f>
        <v>14.579999999999998</v>
      </c>
      <c r="RU35" s="90">
        <f t="shared" si="285"/>
        <v>4411.9079999999994</v>
      </c>
      <c r="RV35" s="90">
        <f t="shared" si="286"/>
        <v>0.65684702072024248</v>
      </c>
      <c r="RW35" s="90">
        <v>10.43</v>
      </c>
      <c r="RX35" s="90">
        <f t="shared" si="287"/>
        <v>10.951499999999999</v>
      </c>
      <c r="RY35" s="90">
        <f t="shared" si="288"/>
        <v>3313.9239000000002</v>
      </c>
      <c r="RZ35" s="90">
        <f t="shared" si="289"/>
        <v>874.28315235055391</v>
      </c>
      <c r="SA35" s="90">
        <f t="shared" si="290"/>
        <v>391.15173153053587</v>
      </c>
      <c r="SB35" s="90">
        <f t="shared" si="291"/>
        <v>591.46113876478194</v>
      </c>
      <c r="SC35" s="90">
        <f t="shared" si="292"/>
        <v>1074.5925595848</v>
      </c>
      <c r="SD35" s="90">
        <f t="shared" si="293"/>
        <v>1074.5925595848</v>
      </c>
      <c r="SE35" s="90">
        <f t="shared" si="294"/>
        <v>1088.9007393090924</v>
      </c>
      <c r="SF35" s="90">
        <f t="shared" si="295"/>
        <v>1072.7209722577199</v>
      </c>
      <c r="SG35" s="90">
        <f t="shared" si="296"/>
        <v>1.8715873270800785</v>
      </c>
      <c r="SH35" s="90">
        <f t="shared" si="297"/>
        <v>1072.7821274583557</v>
      </c>
      <c r="SI35" s="90">
        <f t="shared" si="298"/>
        <v>3.5511981479999997</v>
      </c>
      <c r="SJ35" s="90">
        <f t="shared" si="299"/>
        <v>3.5450131270909448</v>
      </c>
      <c r="SK35" s="90"/>
      <c r="SL35" s="90"/>
      <c r="SM35" s="90"/>
      <c r="SN35" s="90">
        <f t="shared" si="300"/>
        <v>1148.47</v>
      </c>
      <c r="SO35" s="90" t="e">
        <f>RU35-#REF!-#REF!-HZ35-LT35-LZ35-MF35-ML35-QL35-QN35-SD35</f>
        <v>#REF!</v>
      </c>
      <c r="SP35" s="90">
        <f t="shared" si="301"/>
        <v>1124.28</v>
      </c>
      <c r="SQ35" s="90">
        <f t="shared" si="302"/>
        <v>1186.19</v>
      </c>
      <c r="SR35" s="90">
        <f t="shared" si="303"/>
        <v>3.7153998678122933</v>
      </c>
      <c r="SS35" s="90">
        <f t="shared" si="304"/>
        <v>3.9199933906146729</v>
      </c>
      <c r="ST35" s="90">
        <f t="shared" si="305"/>
        <v>1188.712</v>
      </c>
      <c r="SU35" s="90">
        <v>3.7216727514105536</v>
      </c>
      <c r="SV35" s="90">
        <f t="shared" si="306"/>
        <v>3.93</v>
      </c>
      <c r="SW35" s="90">
        <v>3.92</v>
      </c>
      <c r="SX35" s="90">
        <f t="shared" si="307"/>
        <v>1186.19</v>
      </c>
      <c r="SY35" s="90">
        <v>3.7216727514105536</v>
      </c>
      <c r="SZ35" s="90">
        <f t="shared" si="308"/>
        <v>1126.1781745768337</v>
      </c>
      <c r="TA35" s="90">
        <f t="shared" si="309"/>
        <v>1.8981745768337532</v>
      </c>
      <c r="TB35" s="90">
        <v>0</v>
      </c>
      <c r="TC35" s="90">
        <f t="shared" si="310"/>
        <v>1460.8852999999997</v>
      </c>
      <c r="TD35" s="90" t="e">
        <f>#REF!+#REF!</f>
        <v>#REF!</v>
      </c>
      <c r="TE35" s="90" t="e">
        <f t="shared" si="311"/>
        <v>#REF!</v>
      </c>
      <c r="TF35" s="90">
        <v>1353.0551499999995</v>
      </c>
      <c r="TG35" s="90">
        <f t="shared" si="312"/>
        <v>33.112324645028863</v>
      </c>
      <c r="TH35" s="95"/>
      <c r="TI35" s="95"/>
      <c r="TJ35" s="95"/>
      <c r="TK35" s="95"/>
      <c r="TL35" s="95"/>
      <c r="TM35" s="95">
        <f t="shared" si="313"/>
        <v>0</v>
      </c>
      <c r="TN35" s="95">
        <f t="shared" si="314"/>
        <v>4411.9079999999994</v>
      </c>
      <c r="TO35" s="95">
        <f t="shared" si="315"/>
        <v>33.112324645028863</v>
      </c>
      <c r="TP35" s="95"/>
      <c r="TQ35" s="95">
        <f t="shared" si="316"/>
        <v>14.579999999999998</v>
      </c>
      <c r="TR35" s="95"/>
      <c r="TS35" s="95"/>
      <c r="TT35" s="95"/>
      <c r="TU35" s="95"/>
      <c r="TV35" s="95"/>
      <c r="TW35" s="95"/>
      <c r="TX35" s="95"/>
      <c r="TY35" s="95"/>
      <c r="TZ35" s="95">
        <f t="shared" si="317"/>
        <v>2.5</v>
      </c>
      <c r="UA35" s="95">
        <f t="shared" si="318"/>
        <v>0.64151999999999998</v>
      </c>
      <c r="UB35" s="90">
        <v>0</v>
      </c>
      <c r="UC35" s="90">
        <f t="shared" si="319"/>
        <v>0</v>
      </c>
      <c r="UD35" s="90">
        <f t="shared" si="320"/>
        <v>0</v>
      </c>
      <c r="UE35" s="90">
        <f t="shared" si="321"/>
        <v>0</v>
      </c>
      <c r="UF35" s="90">
        <f t="shared" si="322"/>
        <v>4411.9079999999994</v>
      </c>
      <c r="UG35" s="91">
        <f t="shared" si="323"/>
        <v>0</v>
      </c>
      <c r="UH35" s="95">
        <f t="shared" si="324"/>
        <v>33.112324645028863</v>
      </c>
      <c r="UI35" s="95">
        <f t="shared" si="325"/>
        <v>4411.9079999999994</v>
      </c>
      <c r="UJ35" s="101">
        <f t="shared" si="326"/>
        <v>0</v>
      </c>
      <c r="UK35" s="101">
        <f t="shared" si="327"/>
        <v>33.112324645028863</v>
      </c>
      <c r="UL35" s="90" t="e">
        <f>(#REF!+#REF!+HZ35+LT35+LZ35+MF35+ML35+QL35+QN35+SN35+TC35+TM35+UC35)/I35</f>
        <v>#REF!</v>
      </c>
      <c r="UN35" s="90" t="e">
        <f>#REF!/I35</f>
        <v>#REF!</v>
      </c>
      <c r="UO35" s="90" t="e">
        <f>#REF!/I35</f>
        <v>#REF!</v>
      </c>
      <c r="UP35" s="90">
        <v>1.1499999999999999</v>
      </c>
      <c r="UQ35" s="90" t="e">
        <f t="shared" si="328"/>
        <v>#REF!</v>
      </c>
      <c r="UR35" s="90">
        <f t="shared" si="329"/>
        <v>3289.4849999999997</v>
      </c>
      <c r="US35" s="90">
        <f t="shared" si="330"/>
        <v>4285.34</v>
      </c>
      <c r="UT35" s="90">
        <f t="shared" si="331"/>
        <v>4285.34</v>
      </c>
      <c r="UU35" s="90">
        <f t="shared" si="516"/>
        <v>4424.54</v>
      </c>
      <c r="UV35" s="90">
        <f t="shared" si="333"/>
        <v>4411.88</v>
      </c>
      <c r="UW35" s="90">
        <f t="shared" si="334"/>
        <v>6.58</v>
      </c>
      <c r="UX35" s="90">
        <f t="shared" si="335"/>
        <v>3.92</v>
      </c>
      <c r="UY35" s="90">
        <f t="shared" si="336"/>
        <v>3.7953403833443486</v>
      </c>
      <c r="UZ35" s="100">
        <f t="shared" si="337"/>
        <v>3.5511981479999997</v>
      </c>
      <c r="VA35" s="90">
        <f t="shared" si="338"/>
        <v>0.75</v>
      </c>
      <c r="VB35" s="90">
        <f t="shared" si="339"/>
        <v>1.91</v>
      </c>
      <c r="VC35" s="90">
        <f t="shared" si="340"/>
        <v>0</v>
      </c>
      <c r="VD35" s="90">
        <f t="shared" si="341"/>
        <v>0</v>
      </c>
      <c r="VE35" s="90">
        <f t="shared" si="342"/>
        <v>0</v>
      </c>
      <c r="VF35" s="90">
        <f t="shared" si="343"/>
        <v>0</v>
      </c>
      <c r="VG35" s="90">
        <f t="shared" si="344"/>
        <v>0</v>
      </c>
      <c r="VH35" s="90">
        <f t="shared" si="345"/>
        <v>0</v>
      </c>
      <c r="VI35" s="90">
        <f t="shared" si="346"/>
        <v>0</v>
      </c>
      <c r="VJ35" s="90">
        <f t="shared" si="347"/>
        <v>0</v>
      </c>
      <c r="VK35" s="90">
        <f t="shared" si="348"/>
        <v>0.96</v>
      </c>
      <c r="VL35" s="90">
        <f t="shared" si="349"/>
        <v>3.64</v>
      </c>
      <c r="VM35" s="90">
        <f t="shared" si="350"/>
        <v>5.72</v>
      </c>
      <c r="VN35" s="90">
        <f t="shared" si="351"/>
        <v>0</v>
      </c>
      <c r="VO35" s="90">
        <f t="shared" si="352"/>
        <v>5.72</v>
      </c>
      <c r="VP35" s="97">
        <v>0</v>
      </c>
      <c r="VQ35" s="97">
        <v>5.72</v>
      </c>
      <c r="VR35" s="90">
        <f t="shared" si="353"/>
        <v>0.48</v>
      </c>
      <c r="VS35" s="90">
        <f t="shared" si="354"/>
        <v>0.17</v>
      </c>
      <c r="VT35" s="90">
        <v>0.11989898989898991</v>
      </c>
      <c r="VU35" s="90">
        <f t="shared" si="355"/>
        <v>0.16589999999999999</v>
      </c>
      <c r="VV35" s="90">
        <v>0.38175323599898991</v>
      </c>
      <c r="VW35" s="90">
        <f t="shared" si="356"/>
        <v>0.65</v>
      </c>
      <c r="VX35" s="90">
        <f t="shared" si="357"/>
        <v>16.59</v>
      </c>
      <c r="VY35" s="90">
        <f t="shared" si="358"/>
        <v>16.59</v>
      </c>
      <c r="VZ35" s="90">
        <f t="shared" si="359"/>
        <v>0</v>
      </c>
      <c r="WA35" s="90"/>
      <c r="WB35" s="90">
        <f t="shared" si="360"/>
        <v>16.59</v>
      </c>
      <c r="WC35" s="90">
        <f t="shared" si="361"/>
        <v>0</v>
      </c>
      <c r="WD35" s="90"/>
      <c r="WE35" s="90">
        <v>16.59</v>
      </c>
      <c r="WF35" s="90"/>
      <c r="WG35" s="90">
        <f t="shared" si="362"/>
        <v>5020.134</v>
      </c>
      <c r="WH35" s="90">
        <f t="shared" si="363"/>
        <v>5020.134</v>
      </c>
      <c r="WI35" s="90">
        <f t="shared" si="364"/>
        <v>5020.3550000000005</v>
      </c>
      <c r="WJ35" s="90">
        <f t="shared" si="365"/>
        <v>3289.4849999999997</v>
      </c>
      <c r="WK35" s="97">
        <v>1730.87</v>
      </c>
      <c r="WL35" s="97">
        <v>5.72</v>
      </c>
      <c r="WM35" s="90">
        <f t="shared" si="366"/>
        <v>1730.87</v>
      </c>
      <c r="WN35" s="90">
        <f t="shared" si="367"/>
        <v>5.72</v>
      </c>
      <c r="WO35" s="90"/>
      <c r="WP35" s="97">
        <v>16.59</v>
      </c>
      <c r="WQ35" s="90">
        <f t="shared" si="368"/>
        <v>16.59</v>
      </c>
      <c r="WR35" s="91">
        <f t="shared" si="369"/>
        <v>113.78600823045268</v>
      </c>
      <c r="WS35" s="91">
        <f t="shared" si="370"/>
        <v>147.07446808510639</v>
      </c>
      <c r="WT35" s="90">
        <f t="shared" si="371"/>
        <v>5020.13</v>
      </c>
      <c r="WU35" s="90">
        <f t="shared" si="372"/>
        <v>5020.3550000000005</v>
      </c>
      <c r="WV35" s="90">
        <f t="shared" si="373"/>
        <v>-0.2250000000003638</v>
      </c>
      <c r="WW35" s="90">
        <v>3.3</v>
      </c>
      <c r="WX35" s="90"/>
      <c r="WY35" s="90"/>
      <c r="WZ35" s="90">
        <f t="shared" si="374"/>
        <v>4.572043434343434</v>
      </c>
      <c r="XA35" s="90">
        <v>0</v>
      </c>
      <c r="XB35" s="90">
        <f t="shared" si="375"/>
        <v>4.572043434343434</v>
      </c>
      <c r="XC35" s="90">
        <f t="shared" si="376"/>
        <v>0.46229999999999999</v>
      </c>
      <c r="XD35" s="90">
        <f t="shared" si="377"/>
        <v>0.15565656565656566</v>
      </c>
      <c r="XE35" s="90"/>
      <c r="XF35" s="90">
        <f t="shared" si="378"/>
        <v>15.41</v>
      </c>
      <c r="XG35" s="90">
        <v>4.5017194315928579</v>
      </c>
      <c r="XH35" s="20">
        <v>14.579999999999998</v>
      </c>
      <c r="XI35" s="20">
        <v>0</v>
      </c>
      <c r="XJ35" s="20"/>
      <c r="XK35" s="20"/>
      <c r="XL35" s="20"/>
      <c r="XM35" s="20">
        <f t="shared" si="379"/>
        <v>14.579999999999998</v>
      </c>
      <c r="XN35" s="91">
        <f t="shared" si="380"/>
        <v>113.78600823045268</v>
      </c>
      <c r="XO35" s="20">
        <f t="shared" si="381"/>
        <v>14.579999999999998</v>
      </c>
      <c r="XP35" s="90">
        <f t="shared" si="382"/>
        <v>11.279999999999998</v>
      </c>
      <c r="XQ35" s="91">
        <f t="shared" si="383"/>
        <v>113.78600823045268</v>
      </c>
      <c r="XR35" s="102"/>
      <c r="XS35" s="90">
        <f t="shared" si="384"/>
        <v>3.64</v>
      </c>
      <c r="XT35" s="90">
        <f t="shared" si="385"/>
        <v>6.58</v>
      </c>
      <c r="XU35" s="90">
        <f t="shared" si="386"/>
        <v>3.92</v>
      </c>
      <c r="XV35" s="90">
        <f t="shared" si="387"/>
        <v>0.75</v>
      </c>
      <c r="XW35" s="90">
        <f t="shared" si="388"/>
        <v>0.75</v>
      </c>
      <c r="XX35" s="90">
        <f t="shared" si="389"/>
        <v>0</v>
      </c>
      <c r="XY35" s="90">
        <f t="shared" si="390"/>
        <v>1.91</v>
      </c>
      <c r="XZ35" s="90">
        <f t="shared" si="391"/>
        <v>0</v>
      </c>
      <c r="YA35" s="90">
        <f t="shared" si="392"/>
        <v>0</v>
      </c>
      <c r="YB35" s="90">
        <f t="shared" si="537"/>
        <v>0</v>
      </c>
      <c r="YC35" s="90">
        <f t="shared" si="537"/>
        <v>0</v>
      </c>
      <c r="YD35" s="90">
        <f t="shared" si="394"/>
        <v>1.91</v>
      </c>
      <c r="YE35" s="90">
        <f t="shared" si="395"/>
        <v>5.72</v>
      </c>
      <c r="YF35" s="90">
        <f t="shared" si="396"/>
        <v>0.65</v>
      </c>
      <c r="YG35" s="90">
        <f t="shared" si="397"/>
        <v>16.59</v>
      </c>
      <c r="YI35" s="103" t="s">
        <v>507</v>
      </c>
      <c r="YK35" s="90">
        <f t="shared" si="398"/>
        <v>1.07</v>
      </c>
      <c r="YL35" s="90">
        <f t="shared" si="538"/>
        <v>0.75</v>
      </c>
      <c r="YM35" s="90">
        <f t="shared" si="538"/>
        <v>1.91</v>
      </c>
      <c r="YN35" s="90">
        <f t="shared" si="400"/>
        <v>3.64</v>
      </c>
      <c r="YO35" s="90">
        <f t="shared" si="401"/>
        <v>9.2200000000000006</v>
      </c>
      <c r="YP35" s="90">
        <f t="shared" si="402"/>
        <v>0</v>
      </c>
      <c r="YQ35" s="90">
        <f t="shared" si="403"/>
        <v>16.59</v>
      </c>
      <c r="YR35" s="90">
        <f t="shared" si="404"/>
        <v>0</v>
      </c>
      <c r="YS35" s="104">
        <f t="shared" si="405"/>
        <v>16.59</v>
      </c>
      <c r="YT35" s="104">
        <f t="shared" si="406"/>
        <v>0</v>
      </c>
      <c r="YY35" s="90">
        <f t="shared" si="407"/>
        <v>9.2799999999999994</v>
      </c>
      <c r="YZ35" s="90">
        <f t="shared" si="408"/>
        <v>4.18</v>
      </c>
      <c r="ZA35" s="90">
        <f t="shared" si="409"/>
        <v>0.8</v>
      </c>
      <c r="ZB35" s="90">
        <f t="shared" si="410"/>
        <v>4.3</v>
      </c>
      <c r="ZC35" s="90">
        <f t="shared" si="411"/>
        <v>0</v>
      </c>
      <c r="ZD35" s="90">
        <f t="shared" si="412"/>
        <v>0</v>
      </c>
      <c r="ZE35" s="90">
        <f t="shared" si="413"/>
        <v>0</v>
      </c>
      <c r="ZF35" s="90">
        <f t="shared" si="414"/>
        <v>0</v>
      </c>
      <c r="ZG35" s="90">
        <f t="shared" si="415"/>
        <v>0</v>
      </c>
      <c r="ZH35" s="90">
        <f t="shared" si="416"/>
        <v>0</v>
      </c>
      <c r="ZI35" s="90">
        <f t="shared" si="417"/>
        <v>0</v>
      </c>
      <c r="ZJ35" s="90">
        <f t="shared" si="418"/>
        <v>0</v>
      </c>
      <c r="ZK35" s="90">
        <f t="shared" si="419"/>
        <v>0</v>
      </c>
      <c r="ZL35" s="90">
        <f t="shared" si="420"/>
        <v>0.04</v>
      </c>
      <c r="ZM35" s="90">
        <f t="shared" si="421"/>
        <v>4.1100000000000003</v>
      </c>
      <c r="ZN35" s="90">
        <f t="shared" si="422"/>
        <v>9.01</v>
      </c>
      <c r="ZO35" s="90">
        <f t="shared" si="423"/>
        <v>7.63</v>
      </c>
      <c r="ZP35" s="90">
        <f t="shared" si="424"/>
        <v>4.71</v>
      </c>
      <c r="ZQ35" s="90">
        <f t="shared" si="425"/>
        <v>0</v>
      </c>
      <c r="ZR35" s="90">
        <f t="shared" si="426"/>
        <v>4.71</v>
      </c>
      <c r="ZS35" s="97">
        <v>227</v>
      </c>
      <c r="ZT35" s="97">
        <v>230.38</v>
      </c>
      <c r="ZU35" s="90">
        <f t="shared" si="427"/>
        <v>0.56999999999999995</v>
      </c>
      <c r="ZV35" s="90">
        <f t="shared" si="428"/>
        <v>0.2</v>
      </c>
      <c r="ZW35" s="90">
        <v>0.11989898989898991</v>
      </c>
      <c r="ZX35" s="90">
        <f t="shared" si="429"/>
        <v>0.18870000000000001</v>
      </c>
      <c r="ZY35" s="90">
        <v>0.38175323599898991</v>
      </c>
      <c r="ZZ35" s="90">
        <f t="shared" si="430"/>
        <v>0.77</v>
      </c>
      <c r="AAA35" s="90">
        <f t="shared" si="431"/>
        <v>18.87</v>
      </c>
      <c r="AAB35" s="90">
        <f t="shared" si="432"/>
        <v>18.87</v>
      </c>
      <c r="AAC35" s="90">
        <f t="shared" si="433"/>
        <v>0</v>
      </c>
      <c r="AAD35" s="90"/>
      <c r="AAE35" s="90">
        <f t="shared" si="434"/>
        <v>18.87</v>
      </c>
      <c r="AAF35" s="90">
        <v>16.59</v>
      </c>
      <c r="AAG35" s="90">
        <f t="shared" si="435"/>
        <v>113.74321880650994</v>
      </c>
      <c r="AAH35" s="90">
        <f t="shared" si="436"/>
        <v>0</v>
      </c>
      <c r="AAI35" s="90">
        <v>0</v>
      </c>
      <c r="AAJ35" s="90"/>
      <c r="AAK35" s="1">
        <v>18.649999999999999</v>
      </c>
      <c r="AAL35" s="104">
        <f t="shared" si="437"/>
        <v>0.22000000000000242</v>
      </c>
      <c r="AAM35" s="103" t="s">
        <v>454</v>
      </c>
      <c r="AAN35" s="105">
        <v>9.3000000000000007</v>
      </c>
      <c r="AAO35" s="90">
        <f t="shared" si="438"/>
        <v>10.16</v>
      </c>
      <c r="AAP35" s="90">
        <v>4.21</v>
      </c>
      <c r="AAQ35" s="90">
        <f t="shared" si="439"/>
        <v>4.18</v>
      </c>
      <c r="AAR35" s="90">
        <v>0.8</v>
      </c>
      <c r="AAS35" s="90">
        <f t="shared" si="440"/>
        <v>1.22</v>
      </c>
      <c r="AAT35" s="90">
        <f t="shared" si="441"/>
        <v>152.5</v>
      </c>
      <c r="AAU35" s="90">
        <v>4.29</v>
      </c>
      <c r="AAV35" s="90">
        <f t="shared" si="442"/>
        <v>4.3</v>
      </c>
      <c r="AAW35" s="90">
        <f t="shared" si="443"/>
        <v>100.23310023310023</v>
      </c>
      <c r="AAX35" s="90">
        <f t="shared" si="444"/>
        <v>0.46</v>
      </c>
      <c r="AAY35" s="90">
        <f t="shared" si="445"/>
        <v>0</v>
      </c>
      <c r="AAZ35" s="90">
        <f t="shared" si="446"/>
        <v>0</v>
      </c>
      <c r="ABA35" s="90">
        <f t="shared" si="447"/>
        <v>0</v>
      </c>
      <c r="ABB35" s="90">
        <f t="shared" si="448"/>
        <v>0</v>
      </c>
      <c r="ABC35" s="90">
        <v>0</v>
      </c>
      <c r="ABD35" s="90">
        <f t="shared" si="449"/>
        <v>0</v>
      </c>
      <c r="ABE35" s="90"/>
      <c r="ABF35" s="90">
        <v>0</v>
      </c>
      <c r="ABG35" s="90">
        <f t="shared" si="450"/>
        <v>0</v>
      </c>
      <c r="ABH35" s="90"/>
      <c r="ABI35" s="90">
        <f t="shared" si="451"/>
        <v>0</v>
      </c>
      <c r="ABJ35" s="90">
        <f t="shared" si="452"/>
        <v>0</v>
      </c>
      <c r="ABK35" s="90">
        <v>0</v>
      </c>
      <c r="ABL35" s="90">
        <f t="shared" si="453"/>
        <v>0</v>
      </c>
      <c r="ABM35" s="90">
        <f t="shared" si="454"/>
        <v>0</v>
      </c>
      <c r="ABN35" s="90">
        <f t="shared" si="455"/>
        <v>0.02</v>
      </c>
      <c r="ABO35" s="90">
        <v>3.91</v>
      </c>
      <c r="ABP35" s="90">
        <f t="shared" si="456"/>
        <v>4.1100000000000003</v>
      </c>
      <c r="ABQ35" s="90">
        <f t="shared" si="457"/>
        <v>105.1150895140665</v>
      </c>
      <c r="ABR35" s="90">
        <f t="shared" si="458"/>
        <v>9.01</v>
      </c>
      <c r="ABS35" s="90">
        <f t="shared" si="459"/>
        <v>7.63</v>
      </c>
      <c r="ABT35" s="90">
        <v>4.71</v>
      </c>
      <c r="ABU35" s="90">
        <f t="shared" si="460"/>
        <v>4.71</v>
      </c>
      <c r="ABV35" s="90">
        <f t="shared" si="461"/>
        <v>100</v>
      </c>
      <c r="ABW35" s="90">
        <f t="shared" si="462"/>
        <v>0.01</v>
      </c>
      <c r="ABX35" s="90">
        <f t="shared" si="463"/>
        <v>4.72</v>
      </c>
      <c r="ABY35" s="97">
        <v>227</v>
      </c>
      <c r="ABZ35" s="97">
        <v>230.38</v>
      </c>
      <c r="ACA35" s="90">
        <f t="shared" si="464"/>
        <v>0.56999999999999995</v>
      </c>
      <c r="ACB35" s="90">
        <f t="shared" si="465"/>
        <v>0.2</v>
      </c>
      <c r="ACC35" s="90">
        <v>0.11989898989898991</v>
      </c>
      <c r="ACD35" s="90">
        <f t="shared" si="466"/>
        <v>0.193</v>
      </c>
      <c r="ACE35" s="90">
        <v>0.38175323599898991</v>
      </c>
      <c r="ACF35" s="90">
        <v>0.73</v>
      </c>
      <c r="ACG35" s="90">
        <f t="shared" si="467"/>
        <v>0.77</v>
      </c>
      <c r="ACH35" s="90">
        <f t="shared" si="468"/>
        <v>105.47945205479452</v>
      </c>
      <c r="ACI35" s="90">
        <f t="shared" si="469"/>
        <v>19.75</v>
      </c>
      <c r="ACJ35" s="90">
        <f t="shared" si="470"/>
        <v>19.3</v>
      </c>
      <c r="ACK35" s="90">
        <f t="shared" si="471"/>
        <v>-0.44999999999999929</v>
      </c>
      <c r="ACL35" s="90"/>
      <c r="ACM35" s="90">
        <f t="shared" si="472"/>
        <v>19.75</v>
      </c>
      <c r="ACN35" s="90">
        <f t="shared" si="473"/>
        <v>0</v>
      </c>
      <c r="ACO35" s="90">
        <f t="shared" si="474"/>
        <v>19.75</v>
      </c>
      <c r="ACP35" s="90">
        <v>18.650000000000002</v>
      </c>
      <c r="ACQ35" s="90">
        <f t="shared" si="475"/>
        <v>105.89812332439676</v>
      </c>
      <c r="ACR35" s="90">
        <f t="shared" si="476"/>
        <v>0</v>
      </c>
      <c r="ACS35" s="90">
        <v>0</v>
      </c>
      <c r="ACT35" s="90"/>
      <c r="ACU35" s="90">
        <f t="shared" si="477"/>
        <v>19.601150000000001</v>
      </c>
      <c r="ACV35" s="90">
        <f t="shared" si="478"/>
        <v>-0.14884999999999948</v>
      </c>
      <c r="ACX35" s="106" t="s">
        <v>454</v>
      </c>
      <c r="ACY35" s="107"/>
      <c r="ACZ35" s="107">
        <v>60000</v>
      </c>
      <c r="ADB35" s="90">
        <f t="shared" si="479"/>
        <v>4.1100000000000003</v>
      </c>
      <c r="ADC35" s="90">
        <f t="shared" si="480"/>
        <v>10.16</v>
      </c>
      <c r="ADD35" s="90">
        <f t="shared" si="481"/>
        <v>4.18</v>
      </c>
      <c r="ADE35" s="90">
        <f t="shared" si="517"/>
        <v>1.68</v>
      </c>
      <c r="ADF35" s="90">
        <f t="shared" si="483"/>
        <v>1.22</v>
      </c>
      <c r="ADG35" s="90">
        <f t="shared" si="539"/>
        <v>0.46</v>
      </c>
      <c r="ADH35" s="90">
        <f t="shared" si="539"/>
        <v>0</v>
      </c>
      <c r="ADI35" s="90">
        <f t="shared" si="539"/>
        <v>0</v>
      </c>
      <c r="ADJ35" s="90">
        <f t="shared" si="485"/>
        <v>4.3</v>
      </c>
      <c r="ADK35" s="90">
        <f t="shared" si="486"/>
        <v>0</v>
      </c>
      <c r="ADL35" s="90">
        <f t="shared" si="487"/>
        <v>0</v>
      </c>
      <c r="ADM35" s="90">
        <f t="shared" si="540"/>
        <v>0</v>
      </c>
      <c r="ADN35" s="90">
        <f t="shared" si="540"/>
        <v>0</v>
      </c>
      <c r="ADO35" s="90">
        <f t="shared" si="489"/>
        <v>4.3</v>
      </c>
      <c r="ADP35" s="90">
        <f t="shared" si="490"/>
        <v>4.71</v>
      </c>
      <c r="ADQ35" s="90">
        <f t="shared" si="491"/>
        <v>0.77</v>
      </c>
      <c r="ADR35" s="90">
        <f t="shared" si="492"/>
        <v>19.75</v>
      </c>
      <c r="ADU35" s="90">
        <f t="shared" si="493"/>
        <v>1.1499999999999999</v>
      </c>
      <c r="ADV35" s="90">
        <f t="shared" si="494"/>
        <v>1.22</v>
      </c>
      <c r="ADW35" s="90">
        <f t="shared" si="495"/>
        <v>4.3</v>
      </c>
      <c r="ADX35" s="90">
        <f t="shared" si="496"/>
        <v>4.1100000000000003</v>
      </c>
      <c r="ADY35" s="90">
        <f t="shared" si="497"/>
        <v>8.51</v>
      </c>
      <c r="ADZ35" s="90">
        <f t="shared" si="498"/>
        <v>0</v>
      </c>
      <c r="AEA35" s="90">
        <f t="shared" si="499"/>
        <v>19.75</v>
      </c>
      <c r="AEB35" s="90">
        <f t="shared" si="500"/>
        <v>0</v>
      </c>
      <c r="AEC35" s="104">
        <f t="shared" si="501"/>
        <v>19.29</v>
      </c>
      <c r="AED35" s="104">
        <f t="shared" si="502"/>
        <v>0.46000000000000085</v>
      </c>
      <c r="AEG35" s="1">
        <v>9.3000000000000007</v>
      </c>
      <c r="AEH35" s="1">
        <v>4.21</v>
      </c>
      <c r="AEI35" s="1">
        <v>0.8</v>
      </c>
      <c r="AEJ35" s="1">
        <v>4.29</v>
      </c>
      <c r="AEK35" s="1">
        <v>0</v>
      </c>
      <c r="AEL35" s="1">
        <v>0</v>
      </c>
      <c r="AEM35" s="1">
        <v>0</v>
      </c>
      <c r="AEN35" s="1">
        <v>0</v>
      </c>
      <c r="AEO35" s="1">
        <v>0</v>
      </c>
      <c r="AEP35" s="1">
        <v>0</v>
      </c>
      <c r="AEQ35" s="1">
        <v>0</v>
      </c>
      <c r="AER35" s="1">
        <v>0</v>
      </c>
      <c r="AES35" s="1">
        <v>0</v>
      </c>
      <c r="AET35" s="1">
        <v>0</v>
      </c>
      <c r="AEU35" s="1">
        <v>0</v>
      </c>
      <c r="AEV35" s="1">
        <v>0.02</v>
      </c>
      <c r="AEW35" s="1">
        <v>3.91</v>
      </c>
      <c r="AEX35" s="1">
        <v>9</v>
      </c>
      <c r="AEY35" s="1">
        <v>7.63</v>
      </c>
      <c r="AEZ35" s="1">
        <v>4.71</v>
      </c>
      <c r="AFA35" s="1">
        <v>0.01</v>
      </c>
      <c r="AFB35" s="1">
        <v>4.72</v>
      </c>
      <c r="AFC35" s="1">
        <v>227</v>
      </c>
      <c r="AFD35" s="1">
        <v>230.38</v>
      </c>
      <c r="AFE35" s="1">
        <v>0.54</v>
      </c>
      <c r="AFF35" s="1">
        <v>0.19</v>
      </c>
      <c r="AFG35" s="1">
        <v>0.11989898989898991</v>
      </c>
      <c r="AFH35" s="1">
        <v>0.18660000000000004</v>
      </c>
      <c r="AFI35" s="1">
        <v>0.38175323599898991</v>
      </c>
      <c r="AFJ35" s="1">
        <v>0.73</v>
      </c>
      <c r="AFK35" s="1">
        <v>18.650000000000002</v>
      </c>
      <c r="AFL35" s="1">
        <v>18.660000000000004</v>
      </c>
      <c r="AFM35" s="1">
        <v>1.0000000000001563E-2</v>
      </c>
      <c r="AFO35" s="1">
        <v>18.650000000000002</v>
      </c>
      <c r="AFP35" s="1">
        <v>0</v>
      </c>
      <c r="AFQ35" s="1">
        <v>18.649999999999999</v>
      </c>
      <c r="AFX35" s="1">
        <v>19.37</v>
      </c>
    </row>
    <row r="36" spans="1:856" s="1" customFormat="1" ht="63.75" customHeight="1">
      <c r="A36" s="88">
        <v>28</v>
      </c>
      <c r="B36" s="20"/>
      <c r="C36" s="89" t="s">
        <v>514</v>
      </c>
      <c r="D36" s="20"/>
      <c r="E36" s="20" t="s">
        <v>437</v>
      </c>
      <c r="F36" s="20" t="s">
        <v>438</v>
      </c>
      <c r="G36" s="20">
        <v>0.8</v>
      </c>
      <c r="H36" s="20">
        <v>310.5</v>
      </c>
      <c r="I36" s="20">
        <f>310.5+0.1</f>
        <v>310.60000000000002</v>
      </c>
      <c r="J36" s="20">
        <f t="shared" si="0"/>
        <v>248.48000000000002</v>
      </c>
      <c r="K36" s="20">
        <v>8</v>
      </c>
      <c r="L36" s="20"/>
      <c r="M36" s="20"/>
      <c r="N36" s="20"/>
      <c r="O36" s="90">
        <f t="shared" si="1"/>
        <v>0</v>
      </c>
      <c r="P36" s="20"/>
      <c r="Q36" s="20"/>
      <c r="R36" s="90">
        <f t="shared" si="2"/>
        <v>0</v>
      </c>
      <c r="S36" s="20">
        <v>24.4</v>
      </c>
      <c r="T36" s="20">
        <v>2.6</v>
      </c>
      <c r="U36" s="20">
        <v>3.13</v>
      </c>
      <c r="V36" s="91">
        <f t="shared" si="3"/>
        <v>198.57</v>
      </c>
      <c r="W36" s="20">
        <v>2.1000000000000001E-2</v>
      </c>
      <c r="X36" s="20">
        <f t="shared" si="4"/>
        <v>33.42</v>
      </c>
      <c r="Y36" s="91">
        <f t="shared" si="5"/>
        <v>17.12</v>
      </c>
      <c r="Z36" s="20"/>
      <c r="AA36" s="20"/>
      <c r="AB36" s="20"/>
      <c r="AC36" s="91">
        <f t="shared" si="6"/>
        <v>215.69</v>
      </c>
      <c r="AD36" s="90">
        <f t="shared" si="7"/>
        <v>0.69</v>
      </c>
      <c r="AE36" s="92">
        <f t="shared" si="8"/>
        <v>2588.2799999999997</v>
      </c>
      <c r="AF36" s="20">
        <v>26</v>
      </c>
      <c r="AG36" s="20">
        <v>25</v>
      </c>
      <c r="AH36" s="20">
        <v>25</v>
      </c>
      <c r="AI36" s="20">
        <v>24</v>
      </c>
      <c r="AJ36" s="20">
        <v>1.6</v>
      </c>
      <c r="AK36" s="90">
        <f t="shared" si="9"/>
        <v>3.33</v>
      </c>
      <c r="AL36" s="90">
        <v>391.01</v>
      </c>
      <c r="AM36" s="90">
        <f t="shared" si="10"/>
        <v>1302.06</v>
      </c>
      <c r="AN36" s="20">
        <v>24</v>
      </c>
      <c r="AO36" s="20">
        <v>23</v>
      </c>
      <c r="AP36" s="20">
        <v>26</v>
      </c>
      <c r="AQ36" s="20">
        <v>24</v>
      </c>
      <c r="AR36" s="20">
        <v>23</v>
      </c>
      <c r="AS36" s="20">
        <v>25</v>
      </c>
      <c r="AT36" s="20">
        <f t="shared" si="11"/>
        <v>1</v>
      </c>
      <c r="AU36" s="20">
        <v>1.6</v>
      </c>
      <c r="AV36" s="90">
        <f t="shared" si="12"/>
        <v>3.47</v>
      </c>
      <c r="AW36" s="90">
        <f t="shared" si="548"/>
        <v>180.78</v>
      </c>
      <c r="AX36" s="90">
        <v>602.6</v>
      </c>
      <c r="AY36" s="90">
        <f t="shared" si="14"/>
        <v>1.94</v>
      </c>
      <c r="AZ36" s="90">
        <f t="shared" si="15"/>
        <v>1355.5</v>
      </c>
      <c r="BA36" s="90">
        <f t="shared" si="16"/>
        <v>-752.9</v>
      </c>
      <c r="BB36" s="90">
        <v>602.6</v>
      </c>
      <c r="BC36" s="90">
        <v>1.94</v>
      </c>
      <c r="BD36" s="92">
        <f t="shared" si="17"/>
        <v>7231.2000000000007</v>
      </c>
      <c r="BE36" s="90"/>
      <c r="BF36" s="90">
        <f t="shared" si="18"/>
        <v>0</v>
      </c>
      <c r="BG36" s="90">
        <v>391.01</v>
      </c>
      <c r="BH36" s="90">
        <f t="shared" si="19"/>
        <v>1356.8</v>
      </c>
      <c r="BI36" s="90">
        <f t="shared" si="20"/>
        <v>4.37</v>
      </c>
      <c r="BJ36" s="90">
        <f t="shared" si="21"/>
        <v>225.25773195876289</v>
      </c>
      <c r="BK36" s="90">
        <f t="shared" si="22"/>
        <v>1356.8</v>
      </c>
      <c r="BL36" s="90">
        <f t="shared" si="23"/>
        <v>4.37</v>
      </c>
      <c r="BM36" s="90"/>
      <c r="BN36" s="90">
        <f t="shared" si="24"/>
        <v>0</v>
      </c>
      <c r="BO36" s="90">
        <f t="shared" si="25"/>
        <v>1356.8</v>
      </c>
      <c r="BP36" s="90">
        <f t="shared" si="26"/>
        <v>4.3683193818415962</v>
      </c>
      <c r="BQ36" s="90"/>
      <c r="BR36" s="90">
        <f t="shared" si="27"/>
        <v>0</v>
      </c>
      <c r="BS36" s="90">
        <f t="shared" si="28"/>
        <v>1356.8</v>
      </c>
      <c r="BT36" s="90">
        <f t="shared" si="29"/>
        <v>4.3683193818415962</v>
      </c>
      <c r="BU36" s="90"/>
      <c r="BV36" s="93">
        <v>1.4356370000000001</v>
      </c>
      <c r="BW36" s="90">
        <f t="shared" si="30"/>
        <v>445.90885220000007</v>
      </c>
      <c r="BX36" s="90">
        <f t="shared" si="31"/>
        <v>472.66338333200008</v>
      </c>
      <c r="BY36" s="90"/>
      <c r="BZ36" s="90"/>
      <c r="CA36" s="90">
        <v>0.2651</v>
      </c>
      <c r="CB36" s="90">
        <f t="shared" si="542"/>
        <v>82.340060000000008</v>
      </c>
      <c r="CC36" s="90">
        <v>0.71072749999999996</v>
      </c>
      <c r="CD36" s="90">
        <f t="shared" si="33"/>
        <v>58.521344993650004</v>
      </c>
      <c r="CE36" s="90">
        <f t="shared" si="34"/>
        <v>88.490216358121302</v>
      </c>
      <c r="CF36" s="90">
        <f>I36*0.278131673</f>
        <v>86.387697633800016</v>
      </c>
      <c r="CG36" s="90">
        <f>I36*0.278131673</f>
        <v>86.387697633800016</v>
      </c>
      <c r="CH36" s="90">
        <f t="shared" si="35"/>
        <v>90.53</v>
      </c>
      <c r="CI36" s="90">
        <f t="shared" si="524"/>
        <v>95.012010480763507</v>
      </c>
      <c r="CJ36" s="90">
        <f t="shared" si="36"/>
        <v>95.51</v>
      </c>
      <c r="CK36" s="90">
        <f t="shared" si="37"/>
        <v>101.01321192720376</v>
      </c>
      <c r="CL36" s="90">
        <f t="shared" si="38"/>
        <v>101.01321192720376</v>
      </c>
      <c r="CM36" s="94">
        <v>0.14899999999999999</v>
      </c>
      <c r="CN36" s="90">
        <f t="shared" si="39"/>
        <v>66.440418977800007</v>
      </c>
      <c r="CO36" s="90">
        <f t="shared" si="40"/>
        <v>70.426844116468018</v>
      </c>
      <c r="CP36" s="90"/>
      <c r="CQ36" s="90">
        <v>3.9539251999999997E-2</v>
      </c>
      <c r="CR36" s="90">
        <f t="shared" si="543"/>
        <v>12.280891671199999</v>
      </c>
      <c r="CS36" s="90">
        <v>0.71072749999999996</v>
      </c>
      <c r="CT36" s="90">
        <f t="shared" si="42"/>
        <v>8.7283674352427969</v>
      </c>
      <c r="CU36" s="90">
        <f t="shared" si="43"/>
        <v>13.198177910668729</v>
      </c>
      <c r="CV36" s="90">
        <f>I36*0.085943583</f>
        <v>26.694076879800004</v>
      </c>
      <c r="CW36" s="90">
        <f t="shared" si="44"/>
        <v>27.98</v>
      </c>
      <c r="CX36" s="90">
        <f t="shared" si="525"/>
        <v>29.365249676922158</v>
      </c>
      <c r="CY36" s="90">
        <f t="shared" si="45"/>
        <v>29.52</v>
      </c>
      <c r="CZ36" s="90">
        <f t="shared" si="46"/>
        <v>31.220033908352598</v>
      </c>
      <c r="DA36" s="90">
        <f t="shared" si="47"/>
        <v>31.220033908352598</v>
      </c>
      <c r="DB36" s="93">
        <v>1.4169099999999999</v>
      </c>
      <c r="DC36" s="90">
        <f t="shared" si="48"/>
        <v>440.09224599999999</v>
      </c>
      <c r="DD36" s="90">
        <f t="shared" si="49"/>
        <v>466.49778076000001</v>
      </c>
      <c r="DE36" s="90"/>
      <c r="DF36" s="90"/>
      <c r="DG36" s="90">
        <v>0.16261500000000001</v>
      </c>
      <c r="DH36" s="90">
        <f t="shared" si="544"/>
        <v>50.508219000000004</v>
      </c>
      <c r="DI36" s="90">
        <v>0.71072749999999996</v>
      </c>
      <c r="DJ36" s="90">
        <f t="shared" si="51"/>
        <v>35.897580219322499</v>
      </c>
      <c r="DK36" s="90">
        <f t="shared" si="52"/>
        <v>54.280786620429637</v>
      </c>
      <c r="DL36" s="90">
        <f>I36*0.138251926</f>
        <v>42.941048215600006</v>
      </c>
      <c r="DM36" s="90">
        <f t="shared" si="53"/>
        <v>45</v>
      </c>
      <c r="DN36" s="90">
        <f t="shared" si="526"/>
        <v>47.227885470389459</v>
      </c>
      <c r="DO36" s="90">
        <f t="shared" si="54"/>
        <v>47.48</v>
      </c>
      <c r="DP36" s="90">
        <f t="shared" si="55"/>
        <v>50.210919438022408</v>
      </c>
      <c r="DQ36" s="90">
        <f t="shared" si="56"/>
        <v>50.210919438022408</v>
      </c>
      <c r="DR36" s="93">
        <v>5.6880149999999997E-2</v>
      </c>
      <c r="DS36" s="90">
        <f t="shared" si="57"/>
        <v>17.666974589999999</v>
      </c>
      <c r="DT36" s="90">
        <f t="shared" si="58"/>
        <v>18.726993065399999</v>
      </c>
      <c r="DU36" s="90"/>
      <c r="DV36" s="90">
        <v>6.1506E-3</v>
      </c>
      <c r="DW36" s="90">
        <f t="shared" si="545"/>
        <v>1.9103763600000001</v>
      </c>
      <c r="DX36" s="90">
        <v>0.71072749999999996</v>
      </c>
      <c r="DY36" s="90">
        <f t="shared" si="60"/>
        <v>1.3577570144019</v>
      </c>
      <c r="DZ36" s="90">
        <f t="shared" si="61"/>
        <v>2.053066483335575</v>
      </c>
      <c r="EA36" s="90">
        <f t="shared" si="62"/>
        <v>2.15</v>
      </c>
      <c r="EB36" s="90">
        <f t="shared" si="527"/>
        <v>2.2564434169186076</v>
      </c>
      <c r="EC36" s="90">
        <f t="shared" si="63"/>
        <v>2.27</v>
      </c>
      <c r="ED36" s="90">
        <f t="shared" si="64"/>
        <v>2.3989661509277376</v>
      </c>
      <c r="EE36" s="90">
        <f t="shared" si="65"/>
        <v>2.3989661509277376</v>
      </c>
      <c r="EF36" s="94">
        <v>0.85293354333000004</v>
      </c>
      <c r="EG36" s="90">
        <f t="shared" si="66"/>
        <v>211.93692684663841</v>
      </c>
      <c r="EH36" s="90">
        <f t="shared" si="67"/>
        <v>224.65314245743673</v>
      </c>
      <c r="EI36" s="90"/>
      <c r="EJ36" s="90">
        <v>0.58975</v>
      </c>
      <c r="EK36" s="90">
        <f t="shared" si="68"/>
        <v>146.54108000000002</v>
      </c>
      <c r="EL36" s="90">
        <v>0.71072749999999996</v>
      </c>
      <c r="EM36" s="90">
        <f t="shared" si="69"/>
        <v>104.15077543570001</v>
      </c>
      <c r="EN36" s="90">
        <f t="shared" si="70"/>
        <v>157.48654876560406</v>
      </c>
      <c r="EO36" s="90">
        <f>J36*0.618109699</f>
        <v>153.58789800752001</v>
      </c>
      <c r="EP36" s="90">
        <f t="shared" si="71"/>
        <v>160.96</v>
      </c>
      <c r="EQ36" s="90">
        <f t="shared" si="528"/>
        <v>168.92889878475304</v>
      </c>
      <c r="ER36" s="90">
        <f t="shared" si="72"/>
        <v>169.81</v>
      </c>
      <c r="ES36" s="90">
        <f t="shared" si="73"/>
        <v>179.59887983875748</v>
      </c>
      <c r="ET36" s="90">
        <f t="shared" si="74"/>
        <v>179.59887983875748</v>
      </c>
      <c r="EU36" s="94">
        <v>0.14899999999999999</v>
      </c>
      <c r="EV36" s="90">
        <f t="shared" si="75"/>
        <v>31.578602100149123</v>
      </c>
      <c r="EW36" s="90">
        <f t="shared" si="76"/>
        <v>33.473318226158071</v>
      </c>
      <c r="EX36" s="90"/>
      <c r="EY36" s="90">
        <v>8.7870000000000004E-2</v>
      </c>
      <c r="EZ36" s="90">
        <f t="shared" si="77"/>
        <v>21.833937600000002</v>
      </c>
      <c r="FA36" s="90">
        <v>0.71072749999999996</v>
      </c>
      <c r="FB36" s="90">
        <f t="shared" si="78"/>
        <v>15.517979885604001</v>
      </c>
      <c r="FC36" s="90">
        <f t="shared" si="79"/>
        <v>23.464761407433027</v>
      </c>
      <c r="FD36" s="90">
        <f>J36*0.191129561</f>
        <v>47.491873317280003</v>
      </c>
      <c r="FE36" s="90">
        <f t="shared" si="80"/>
        <v>49.77</v>
      </c>
      <c r="FF36" s="90">
        <f t="shared" si="529"/>
        <v>52.234041330250747</v>
      </c>
      <c r="FG36" s="90">
        <f t="shared" si="81"/>
        <v>52.51</v>
      </c>
      <c r="FH36" s="90">
        <f t="shared" si="82"/>
        <v>55.53327689845279</v>
      </c>
      <c r="FI36" s="90">
        <f t="shared" si="83"/>
        <v>55.53327689845279</v>
      </c>
      <c r="FJ36" s="93">
        <v>0.49981642240000002</v>
      </c>
      <c r="FK36" s="90">
        <f t="shared" si="84"/>
        <v>124.19438463795201</v>
      </c>
      <c r="FL36" s="90">
        <f t="shared" si="85"/>
        <v>131.64604771622913</v>
      </c>
      <c r="FM36" s="90"/>
      <c r="FN36" s="90">
        <v>0.35812500000000003</v>
      </c>
      <c r="FO36" s="90">
        <f t="shared" si="86"/>
        <v>88.98690000000002</v>
      </c>
      <c r="FP36" s="90">
        <v>0.71072749999999996</v>
      </c>
      <c r="FQ36" s="90">
        <f t="shared" si="87"/>
        <v>63.24543696975001</v>
      </c>
      <c r="FR36" s="90">
        <f t="shared" si="88"/>
        <v>95.633523148252564</v>
      </c>
      <c r="FS36" s="90">
        <f>J36*0.303398168</f>
        <v>75.388376784640016</v>
      </c>
      <c r="FT36" s="90">
        <f t="shared" si="89"/>
        <v>79.010000000000005</v>
      </c>
      <c r="FU36" s="90">
        <f>J36*0.303651882</f>
        <v>75.451419639359997</v>
      </c>
      <c r="FV36" s="90">
        <f t="shared" si="90"/>
        <v>79.069999999999993</v>
      </c>
      <c r="FW36" s="90">
        <f t="shared" si="530"/>
        <v>82.98464231430431</v>
      </c>
      <c r="FX36" s="90">
        <f t="shared" si="91"/>
        <v>83.42</v>
      </c>
      <c r="FY36" s="90">
        <f t="shared" si="92"/>
        <v>88.226164443654028</v>
      </c>
      <c r="FZ36" s="90">
        <f t="shared" si="93"/>
        <v>88.226164443654028</v>
      </c>
      <c r="GA36" s="94">
        <v>1.352261642E-2</v>
      </c>
      <c r="GB36" s="90">
        <f t="shared" si="94"/>
        <v>3.3600997280416003</v>
      </c>
      <c r="GC36" s="90">
        <f t="shared" si="95"/>
        <v>3.5617057117240964</v>
      </c>
      <c r="GD36" s="90"/>
      <c r="GE36" s="90">
        <v>1.0749999999999999E-2</v>
      </c>
      <c r="GF36" s="90">
        <f t="shared" si="96"/>
        <v>2.67116</v>
      </c>
      <c r="GG36" s="90">
        <v>0.71072749999999996</v>
      </c>
      <c r="GH36" s="90">
        <f t="shared" si="97"/>
        <v>1.8984668688999999</v>
      </c>
      <c r="GI36" s="90">
        <f t="shared" si="98"/>
        <v>2.8706746913611587</v>
      </c>
      <c r="GJ36" s="90">
        <f t="shared" si="99"/>
        <v>3.01</v>
      </c>
      <c r="GK36" s="90">
        <f t="shared" si="531"/>
        <v>3.1590207836860507</v>
      </c>
      <c r="GL36" s="90">
        <f t="shared" si="100"/>
        <v>3.18</v>
      </c>
      <c r="GM36" s="90">
        <f t="shared" si="101"/>
        <v>3.3585526112988329</v>
      </c>
      <c r="GN36" s="90">
        <f t="shared" si="102"/>
        <v>3.3585526112988329</v>
      </c>
      <c r="GO36" s="90">
        <v>1612.8</v>
      </c>
      <c r="GP36" s="90">
        <f t="shared" si="103"/>
        <v>134.4</v>
      </c>
      <c r="GQ36" s="90">
        <f>1058.4+69.3</f>
        <v>1127.7</v>
      </c>
      <c r="GR36" s="90">
        <f t="shared" si="104"/>
        <v>93.975000000000009</v>
      </c>
      <c r="GS36" s="90">
        <f t="shared" si="105"/>
        <v>228.375</v>
      </c>
      <c r="GT36" s="90">
        <f t="shared" si="106"/>
        <v>0.74</v>
      </c>
      <c r="GU36" s="90">
        <v>1842.24</v>
      </c>
      <c r="GV36" s="90">
        <f>1003.2+66.12</f>
        <v>1069.3200000000002</v>
      </c>
      <c r="GW36" s="90">
        <f t="shared" si="107"/>
        <v>242.63000000000002</v>
      </c>
      <c r="GX36" s="90">
        <f t="shared" si="108"/>
        <v>0.78</v>
      </c>
      <c r="GY36" s="90">
        <v>3292.32</v>
      </c>
      <c r="GZ36" s="90">
        <f>1067.04+70.68</f>
        <v>1137.72</v>
      </c>
      <c r="HA36" s="90">
        <f t="shared" si="109"/>
        <v>369.17</v>
      </c>
      <c r="HB36" s="90">
        <f t="shared" si="110"/>
        <v>1.19</v>
      </c>
      <c r="HC36" s="90">
        <v>3292.32</v>
      </c>
      <c r="HD36" s="90">
        <f>1067.04+70.68</f>
        <v>1137.72</v>
      </c>
      <c r="HE36" s="90">
        <f t="shared" si="111"/>
        <v>369.17</v>
      </c>
      <c r="HF36" s="90">
        <f t="shared" si="112"/>
        <v>1.19</v>
      </c>
      <c r="HG36" s="90"/>
      <c r="HH36" s="90"/>
      <c r="HI36" s="90">
        <v>0.96</v>
      </c>
      <c r="HJ36" s="90">
        <f t="shared" si="113"/>
        <v>298.17599999999999</v>
      </c>
      <c r="HK36" s="90">
        <f t="shared" si="114"/>
        <v>1.0060849967804248</v>
      </c>
      <c r="HL36" s="90">
        <f t="shared" si="115"/>
        <v>312.49</v>
      </c>
      <c r="HM36" s="90">
        <v>1.07</v>
      </c>
      <c r="HN36" s="90">
        <f t="shared" si="116"/>
        <v>332.34200000000004</v>
      </c>
      <c r="HO36" s="90">
        <v>1.1499999999999999</v>
      </c>
      <c r="HP36" s="90">
        <f t="shared" si="117"/>
        <v>357.19</v>
      </c>
      <c r="HQ36" s="90">
        <v>1.1499999999999999</v>
      </c>
      <c r="HR36" s="90">
        <f t="shared" si="118"/>
        <v>357.19</v>
      </c>
      <c r="HS36" s="90">
        <v>0.31919999999999998</v>
      </c>
      <c r="HT36" s="90">
        <f t="shared" si="119"/>
        <v>99.143519999999995</v>
      </c>
      <c r="HU36" s="90" t="e">
        <f>HT36*#REF!</f>
        <v>#REF!</v>
      </c>
      <c r="HV36" s="90">
        <v>2.83</v>
      </c>
      <c r="HW36" s="90">
        <v>3.1</v>
      </c>
      <c r="HX36" s="90">
        <f t="shared" si="120"/>
        <v>962.86000000000013</v>
      </c>
      <c r="HY36" s="90">
        <v>1.06</v>
      </c>
      <c r="HZ36" s="90">
        <f t="shared" si="121"/>
        <v>1020.6316000000002</v>
      </c>
      <c r="IA36" s="90">
        <f t="shared" si="122"/>
        <v>3.29</v>
      </c>
      <c r="IB36" s="90">
        <f t="shared" si="123"/>
        <v>3.45</v>
      </c>
      <c r="IC36" s="90">
        <f t="shared" si="124"/>
        <v>1071.5700000000002</v>
      </c>
      <c r="ID36" s="90">
        <f t="shared" si="125"/>
        <v>3.64</v>
      </c>
      <c r="IE36" s="90">
        <f t="shared" si="126"/>
        <v>1130.58</v>
      </c>
      <c r="IF36" s="90">
        <f t="shared" si="127"/>
        <v>3.64</v>
      </c>
      <c r="IG36" s="92">
        <f t="shared" si="128"/>
        <v>13566.96</v>
      </c>
      <c r="IH36" s="90">
        <v>3.91</v>
      </c>
      <c r="II36" s="90">
        <f t="shared" si="129"/>
        <v>4.1100000000000003</v>
      </c>
      <c r="IJ36" s="90">
        <f t="shared" si="130"/>
        <v>1276.57</v>
      </c>
      <c r="IK36" s="90">
        <f t="shared" si="131"/>
        <v>4.1100000000000003</v>
      </c>
      <c r="IL36" s="90">
        <f t="shared" si="132"/>
        <v>1276.57</v>
      </c>
      <c r="IM36" s="90">
        <f t="shared" si="133"/>
        <v>4.1100000000000003</v>
      </c>
      <c r="IN36" s="90">
        <f t="shared" si="134"/>
        <v>1276.57</v>
      </c>
      <c r="IO36" s="90">
        <f t="shared" si="135"/>
        <v>4.1100000000000003</v>
      </c>
      <c r="IP36" s="93">
        <v>0.37052404126999999</v>
      </c>
      <c r="IQ36" s="90">
        <f t="shared" si="136"/>
        <v>92.067813774769604</v>
      </c>
      <c r="IR36" s="90">
        <f t="shared" si="137"/>
        <v>97.59188260125579</v>
      </c>
      <c r="IS36" s="90">
        <v>108693.96</v>
      </c>
      <c r="IT36" s="90">
        <v>3053.33</v>
      </c>
      <c r="IU36" s="94"/>
      <c r="IV36" s="94"/>
      <c r="IW36" s="94">
        <v>1.6976249999999999</v>
      </c>
      <c r="IX36" s="90">
        <f t="shared" si="138"/>
        <v>421.82586000000003</v>
      </c>
      <c r="IY36" s="93">
        <v>0.56339614052999998</v>
      </c>
      <c r="IZ36" s="90">
        <f t="shared" si="139"/>
        <v>174.99084124861801</v>
      </c>
      <c r="JA36" s="90">
        <f t="shared" si="140"/>
        <v>183.39</v>
      </c>
      <c r="JB36" s="90">
        <f t="shared" si="532"/>
        <v>192.46937592032717</v>
      </c>
      <c r="JC36" s="90">
        <f t="shared" si="141"/>
        <v>193.48</v>
      </c>
      <c r="JD36" s="90">
        <f t="shared" si="142"/>
        <v>204.62623368308732</v>
      </c>
      <c r="JE36" s="90">
        <f t="shared" si="143"/>
        <v>204.62623368308732</v>
      </c>
      <c r="JF36" s="93">
        <v>4.2278943710000003E-2</v>
      </c>
      <c r="JG36" s="90">
        <f t="shared" si="144"/>
        <v>10.505471933060802</v>
      </c>
      <c r="JH36" s="90">
        <f t="shared" si="145"/>
        <v>11.135800249044451</v>
      </c>
      <c r="JI36" s="20">
        <v>462.98</v>
      </c>
      <c r="JJ36" s="20"/>
      <c r="JK36" s="20">
        <v>6.0624999999999998E-2</v>
      </c>
      <c r="JL36" s="90">
        <f t="shared" si="146"/>
        <v>15.0641</v>
      </c>
      <c r="JM36" s="93">
        <v>6.7347080040000007E-2</v>
      </c>
      <c r="JN36" s="90">
        <f t="shared" si="147"/>
        <v>20.918003060424002</v>
      </c>
      <c r="JO36" s="90">
        <f t="shared" si="148"/>
        <v>21.92</v>
      </c>
      <c r="JP36" s="90">
        <f t="shared" si="533"/>
        <v>23.005227766909712</v>
      </c>
      <c r="JQ36" s="90">
        <f t="shared" si="149"/>
        <v>23.13</v>
      </c>
      <c r="JR36" s="90">
        <f t="shared" si="150"/>
        <v>24.458296757365584</v>
      </c>
      <c r="JS36" s="90">
        <f t="shared" si="151"/>
        <v>24.458296757365584</v>
      </c>
      <c r="JT36" s="93">
        <v>7.3220517000000002E-3</v>
      </c>
      <c r="JU36" s="90">
        <f t="shared" si="152"/>
        <v>1.8193834064160002</v>
      </c>
      <c r="JV36" s="90">
        <f t="shared" si="153"/>
        <v>1.91</v>
      </c>
      <c r="JW36" s="90">
        <f t="shared" si="534"/>
        <v>2.0045613610765303</v>
      </c>
      <c r="JX36" s="90">
        <f t="shared" si="154"/>
        <v>2.02</v>
      </c>
      <c r="JY36" s="90">
        <f t="shared" si="155"/>
        <v>2.1311745805916176</v>
      </c>
      <c r="JZ36" s="90">
        <f t="shared" si="156"/>
        <v>2.1311745805916176</v>
      </c>
      <c r="KA36" s="90">
        <v>8.3090999999999998E-3</v>
      </c>
      <c r="KB36" s="90">
        <f t="shared" si="157"/>
        <v>2.0646451680000002</v>
      </c>
      <c r="KC36" s="90" t="e">
        <f>KB36*#REF!</f>
        <v>#REF!</v>
      </c>
      <c r="KD36" s="90">
        <v>34406.519999999997</v>
      </c>
      <c r="KE36" s="90">
        <v>40292.97</v>
      </c>
      <c r="KF36" s="90"/>
      <c r="KG36" s="90">
        <f t="shared" si="546"/>
        <v>363.73909602017301</v>
      </c>
      <c r="KH36" s="90" t="e">
        <f>KG36/(BW36+#REF!)*(CB36+#REF!)</f>
        <v>#REF!</v>
      </c>
      <c r="KI36" s="90">
        <v>0.8</v>
      </c>
      <c r="KJ36" s="94"/>
      <c r="KK36" s="90">
        <f t="shared" si="159"/>
        <v>0</v>
      </c>
      <c r="KL36" s="93">
        <v>1.2690177</v>
      </c>
      <c r="KM36" s="90">
        <f t="shared" si="160"/>
        <v>394.15689762000005</v>
      </c>
      <c r="KN36" s="90">
        <f t="shared" si="161"/>
        <v>417.8063114772001</v>
      </c>
      <c r="KO36" s="90" t="e">
        <f>BW36+CN36+DC36+DS36+EG36+EV36+FK36+GB36+#REF!+#REF!+HJ36+HX36+IQ36+JG36+JU36+KK36+KM36</f>
        <v>#REF!</v>
      </c>
      <c r="KP36" s="90"/>
      <c r="KQ36" s="90">
        <v>0.50815001599999998</v>
      </c>
      <c r="KR36" s="90">
        <f t="shared" si="514"/>
        <v>157.83139496960001</v>
      </c>
      <c r="KS36" s="90">
        <v>0.71072749999999996</v>
      </c>
      <c r="KT36" s="90">
        <f t="shared" si="163"/>
        <v>112.17511276825638</v>
      </c>
      <c r="KU36" s="90">
        <f t="shared" si="164"/>
        <v>169.62016166813581</v>
      </c>
      <c r="KV36" s="90">
        <f t="shared" si="165"/>
        <v>177.76</v>
      </c>
      <c r="KW36" s="90">
        <f t="shared" si="535"/>
        <v>186.56064269369844</v>
      </c>
      <c r="KX36" s="90">
        <f t="shared" si="166"/>
        <v>187.54</v>
      </c>
      <c r="KY36" s="90">
        <f t="shared" si="167"/>
        <v>198.34428976228585</v>
      </c>
      <c r="KZ36" s="90">
        <f t="shared" si="168"/>
        <v>198.34428976228585</v>
      </c>
      <c r="LA36" s="90">
        <f t="shared" si="169"/>
        <v>1217.5499999999997</v>
      </c>
      <c r="LB36" s="90">
        <f t="shared" si="170"/>
        <v>3.92</v>
      </c>
      <c r="LC36" s="92">
        <f t="shared" si="171"/>
        <v>14610.599999999997</v>
      </c>
      <c r="LD36" s="92">
        <v>4.21</v>
      </c>
      <c r="LE36" s="92">
        <v>1307.6300000000001</v>
      </c>
      <c r="LF36" s="90">
        <f t="shared" si="172"/>
        <v>4.18</v>
      </c>
      <c r="LG36" s="90">
        <f t="shared" si="173"/>
        <v>1298.31</v>
      </c>
      <c r="LH36" s="90">
        <f t="shared" si="174"/>
        <v>1308.8662499999996</v>
      </c>
      <c r="LI36" s="90">
        <f t="shared" si="175"/>
        <v>4.21</v>
      </c>
      <c r="LJ36" s="90">
        <f t="shared" si="176"/>
        <v>1298.31</v>
      </c>
      <c r="LK36" s="90">
        <f t="shared" si="177"/>
        <v>4.18</v>
      </c>
      <c r="LL36" s="90">
        <f t="shared" si="178"/>
        <v>1298.31</v>
      </c>
      <c r="LM36" s="90">
        <f t="shared" si="179"/>
        <v>4.18</v>
      </c>
      <c r="LN36" s="95">
        <v>0.46</v>
      </c>
      <c r="LO36" s="95">
        <f t="shared" si="180"/>
        <v>142.88</v>
      </c>
      <c r="LP36" s="95"/>
      <c r="LQ36" s="95">
        <f t="shared" si="181"/>
        <v>0</v>
      </c>
      <c r="LR36" s="90"/>
      <c r="LS36" s="90"/>
      <c r="LT36" s="90">
        <f t="shared" si="182"/>
        <v>0</v>
      </c>
      <c r="LU36" s="90"/>
      <c r="LV36" s="90">
        <f t="shared" si="183"/>
        <v>0</v>
      </c>
      <c r="LW36" s="90">
        <f t="shared" si="184"/>
        <v>0</v>
      </c>
      <c r="LX36" s="90"/>
      <c r="LY36" s="90"/>
      <c r="LZ36" s="90">
        <f t="shared" si="185"/>
        <v>0</v>
      </c>
      <c r="MA36" s="90"/>
      <c r="MB36" s="90">
        <f t="shared" si="186"/>
        <v>0</v>
      </c>
      <c r="MC36" s="90">
        <f t="shared" si="187"/>
        <v>0</v>
      </c>
      <c r="MD36" s="90"/>
      <c r="ME36" s="90"/>
      <c r="MF36" s="90">
        <f t="shared" si="188"/>
        <v>0</v>
      </c>
      <c r="MG36" s="90"/>
      <c r="MH36" s="90">
        <f t="shared" si="189"/>
        <v>0</v>
      </c>
      <c r="MI36" s="90">
        <f t="shared" si="190"/>
        <v>0</v>
      </c>
      <c r="MJ36" s="90"/>
      <c r="MK36" s="90"/>
      <c r="ML36" s="90">
        <f t="shared" si="191"/>
        <v>0</v>
      </c>
      <c r="MM36" s="90"/>
      <c r="MN36" s="90">
        <f t="shared" si="192"/>
        <v>0</v>
      </c>
      <c r="MO36" s="90">
        <f t="shared" si="193"/>
        <v>0</v>
      </c>
      <c r="MP36" s="90">
        <f t="shared" si="194"/>
        <v>0</v>
      </c>
      <c r="MQ36" s="90">
        <f t="shared" si="195"/>
        <v>0</v>
      </c>
      <c r="MR36" s="90">
        <f t="shared" si="196"/>
        <v>0</v>
      </c>
      <c r="MS36" s="90">
        <f t="shared" si="197"/>
        <v>0</v>
      </c>
      <c r="MT36" s="95"/>
      <c r="MU36" s="95">
        <f t="shared" si="198"/>
        <v>0</v>
      </c>
      <c r="MV36" s="92">
        <f t="shared" si="199"/>
        <v>0</v>
      </c>
      <c r="MW36" s="95"/>
      <c r="MX36" s="95">
        <f t="shared" si="200"/>
        <v>0</v>
      </c>
      <c r="MY36" s="95"/>
      <c r="MZ36" s="95">
        <f t="shared" si="201"/>
        <v>0</v>
      </c>
      <c r="NA36" s="95"/>
      <c r="NB36" s="95">
        <f t="shared" si="202"/>
        <v>0</v>
      </c>
      <c r="NC36" s="92">
        <f t="shared" si="203"/>
        <v>0</v>
      </c>
      <c r="ND36" s="95"/>
      <c r="NE36" s="95">
        <f t="shared" si="204"/>
        <v>0</v>
      </c>
      <c r="NF36" s="95"/>
      <c r="NG36" s="95">
        <f t="shared" si="205"/>
        <v>0</v>
      </c>
      <c r="NH36" s="95"/>
      <c r="NI36" s="95"/>
      <c r="NJ36" s="95">
        <f t="shared" si="206"/>
        <v>0</v>
      </c>
      <c r="NK36" s="92">
        <f t="shared" si="207"/>
        <v>0</v>
      </c>
      <c r="NL36" s="95"/>
      <c r="NM36" s="95">
        <f t="shared" si="208"/>
        <v>0</v>
      </c>
      <c r="NN36" s="95"/>
      <c r="NO36" s="95">
        <f t="shared" si="209"/>
        <v>0</v>
      </c>
      <c r="NP36" s="95"/>
      <c r="NQ36" s="95">
        <f t="shared" si="210"/>
        <v>0</v>
      </c>
      <c r="NR36" s="92">
        <f t="shared" si="211"/>
        <v>0</v>
      </c>
      <c r="NS36" s="95"/>
      <c r="NT36" s="95">
        <f t="shared" si="212"/>
        <v>0</v>
      </c>
      <c r="NU36" s="95"/>
      <c r="NV36" s="95">
        <f t="shared" si="213"/>
        <v>0</v>
      </c>
      <c r="NW36" s="95"/>
      <c r="NX36" s="95">
        <f t="shared" si="214"/>
        <v>0</v>
      </c>
      <c r="NY36" s="92">
        <f t="shared" si="215"/>
        <v>0</v>
      </c>
      <c r="NZ36" s="95"/>
      <c r="OA36" s="95">
        <f t="shared" si="216"/>
        <v>0</v>
      </c>
      <c r="OB36" s="95"/>
      <c r="OC36" s="95">
        <f t="shared" si="217"/>
        <v>0</v>
      </c>
      <c r="OD36" s="90">
        <v>1770.42</v>
      </c>
      <c r="OE36" s="90">
        <f t="shared" si="218"/>
        <v>5.7</v>
      </c>
      <c r="OF36" s="92">
        <f t="shared" si="219"/>
        <v>21245.040000000001</v>
      </c>
      <c r="OG36" s="96">
        <v>602.6</v>
      </c>
      <c r="OH36" s="96">
        <v>1.94</v>
      </c>
      <c r="OI36" s="90">
        <v>2372.98</v>
      </c>
      <c r="OJ36" s="90">
        <f t="shared" si="220"/>
        <v>7.64</v>
      </c>
      <c r="OK36" s="90">
        <f t="shared" si="221"/>
        <v>2373.02</v>
      </c>
      <c r="OL36" s="90">
        <f t="shared" si="222"/>
        <v>7.64</v>
      </c>
      <c r="OM36" s="90">
        <f t="shared" si="223"/>
        <v>0</v>
      </c>
      <c r="ON36" s="90">
        <v>1770.42</v>
      </c>
      <c r="OO36" s="90">
        <f t="shared" si="224"/>
        <v>5.7</v>
      </c>
      <c r="OP36" s="90">
        <v>1770.38</v>
      </c>
      <c r="OQ36" s="90">
        <v>5.7</v>
      </c>
      <c r="OR36" s="90">
        <f t="shared" si="225"/>
        <v>0</v>
      </c>
      <c r="OS36" s="90">
        <f t="shared" si="226"/>
        <v>5.6999999999999993</v>
      </c>
      <c r="OT36" s="90">
        <v>1770.42</v>
      </c>
      <c r="OU36" s="90">
        <f t="shared" si="227"/>
        <v>5.7</v>
      </c>
      <c r="OV36" s="97">
        <v>1459.82</v>
      </c>
      <c r="OW36" s="90">
        <f t="shared" si="228"/>
        <v>1459.82</v>
      </c>
      <c r="OX36" s="90">
        <f t="shared" si="229"/>
        <v>4.7</v>
      </c>
      <c r="OY36" s="90">
        <f t="shared" si="547"/>
        <v>4.7</v>
      </c>
      <c r="OZ36" s="90"/>
      <c r="PA36" s="90"/>
      <c r="PB36" s="95">
        <f t="shared" si="230"/>
        <v>0</v>
      </c>
      <c r="PC36" s="92">
        <f t="shared" si="231"/>
        <v>0</v>
      </c>
      <c r="PD36" s="90"/>
      <c r="PE36" s="95">
        <f t="shared" si="232"/>
        <v>0</v>
      </c>
      <c r="PF36" s="90">
        <f t="shared" si="233"/>
        <v>4949.5249999999996</v>
      </c>
      <c r="PG36" s="90">
        <f t="shared" si="234"/>
        <v>15.94</v>
      </c>
      <c r="PH36" s="90">
        <f t="shared" si="235"/>
        <v>5903.55</v>
      </c>
      <c r="PI36" s="90">
        <f t="shared" si="236"/>
        <v>19.010000000000002</v>
      </c>
      <c r="PJ36" s="90">
        <f t="shared" si="237"/>
        <v>5903.55</v>
      </c>
      <c r="PK36" s="90">
        <f t="shared" si="238"/>
        <v>19.010000000000002</v>
      </c>
      <c r="PL36" s="90"/>
      <c r="PM36" s="90">
        <f t="shared" si="239"/>
        <v>148.49</v>
      </c>
      <c r="PN36" s="90">
        <f t="shared" si="240"/>
        <v>0.48</v>
      </c>
      <c r="PO36" s="92">
        <f t="shared" si="241"/>
        <v>1781.88</v>
      </c>
      <c r="PP36" s="90">
        <f t="shared" si="242"/>
        <v>177.11</v>
      </c>
      <c r="PQ36" s="90">
        <f t="shared" si="243"/>
        <v>0.56999999999999995</v>
      </c>
      <c r="PR36" s="90">
        <f t="shared" si="244"/>
        <v>177.11</v>
      </c>
      <c r="PS36" s="90">
        <f t="shared" si="245"/>
        <v>0.56999999999999995</v>
      </c>
      <c r="PT36" s="90">
        <f t="shared" si="246"/>
        <v>5098.0149999999994</v>
      </c>
      <c r="PU36" s="90">
        <f t="shared" si="247"/>
        <v>16.41</v>
      </c>
      <c r="PV36" s="90">
        <f t="shared" si="248"/>
        <v>6080.66</v>
      </c>
      <c r="PW36" s="90">
        <f t="shared" si="249"/>
        <v>19.579999999999998</v>
      </c>
      <c r="PX36" s="90">
        <f t="shared" si="250"/>
        <v>6080.66</v>
      </c>
      <c r="PY36" s="90">
        <f t="shared" si="251"/>
        <v>19.579999999999998</v>
      </c>
      <c r="PZ36" s="90">
        <f t="shared" si="252"/>
        <v>51.5</v>
      </c>
      <c r="QA36" s="90">
        <f t="shared" si="253"/>
        <v>0.17</v>
      </c>
      <c r="QB36" s="92">
        <f t="shared" si="254"/>
        <v>618</v>
      </c>
      <c r="QC36" s="90">
        <f t="shared" si="255"/>
        <v>61.42</v>
      </c>
      <c r="QD36" s="90">
        <f t="shared" si="256"/>
        <v>0.2</v>
      </c>
      <c r="QE36" s="90">
        <f t="shared" si="257"/>
        <v>61.42</v>
      </c>
      <c r="QF36" s="90">
        <f t="shared" si="258"/>
        <v>0.2</v>
      </c>
      <c r="QG36" s="90">
        <f t="shared" si="259"/>
        <v>5149.5149999999994</v>
      </c>
      <c r="QH36" s="90">
        <f t="shared" si="260"/>
        <v>16.579999999999998</v>
      </c>
      <c r="QI36" s="92">
        <f t="shared" si="261"/>
        <v>61794.179999999993</v>
      </c>
      <c r="QJ36" s="90">
        <f t="shared" si="262"/>
        <v>203.14064269369845</v>
      </c>
      <c r="QK36" s="98">
        <f t="shared" si="263"/>
        <v>0.21869999999999998</v>
      </c>
      <c r="QL36" s="90">
        <f t="shared" si="264"/>
        <v>67.928219999999996</v>
      </c>
      <c r="QM36" s="90">
        <f t="shared" si="265"/>
        <v>0.14579999999999999</v>
      </c>
      <c r="QN36" s="90">
        <f t="shared" si="266"/>
        <v>45.28548</v>
      </c>
      <c r="QO36" s="90">
        <v>0.21869999999999998</v>
      </c>
      <c r="QP36" s="90">
        <v>0.14579999999999999</v>
      </c>
      <c r="QQ36" s="97">
        <f t="shared" si="267"/>
        <v>113.21369999999999</v>
      </c>
      <c r="QR36" s="97">
        <v>113.21369999999999</v>
      </c>
      <c r="QS36" s="97">
        <f t="shared" si="268"/>
        <v>0</v>
      </c>
      <c r="QT36" s="90"/>
      <c r="QU36" s="90">
        <f t="shared" si="269"/>
        <v>0.14579999999999999</v>
      </c>
      <c r="QV36" s="90">
        <f t="shared" si="270"/>
        <v>45.28548</v>
      </c>
      <c r="QW36" s="90">
        <f t="shared" si="271"/>
        <v>113.21369999999999</v>
      </c>
      <c r="QX36" s="90">
        <f t="shared" si="272"/>
        <v>0.36449999999999994</v>
      </c>
      <c r="QY36" s="90"/>
      <c r="QZ36" s="90"/>
      <c r="RA36" s="90"/>
      <c r="RB36" s="90">
        <v>1155.94</v>
      </c>
      <c r="RC36" s="97">
        <f t="shared" si="273"/>
        <v>5149.5149999999994</v>
      </c>
      <c r="RD36" s="97">
        <f t="shared" si="274"/>
        <v>16.579999999999998</v>
      </c>
      <c r="RE36" s="90">
        <f t="shared" si="275"/>
        <v>6142.08</v>
      </c>
      <c r="RF36" s="90">
        <f t="shared" si="276"/>
        <v>19.77</v>
      </c>
      <c r="RG36" s="90">
        <f t="shared" si="277"/>
        <v>119.16817359855334</v>
      </c>
      <c r="RH36" s="90">
        <f t="shared" si="278"/>
        <v>6142.08</v>
      </c>
      <c r="RI36" s="90">
        <f t="shared" si="279"/>
        <v>19.77</v>
      </c>
      <c r="RJ36" s="90">
        <v>19.399999999999999</v>
      </c>
      <c r="RK36" s="90">
        <v>0</v>
      </c>
      <c r="RL36" s="90">
        <f t="shared" si="280"/>
        <v>0.37000000000000099</v>
      </c>
      <c r="RM36" s="90">
        <f t="shared" si="281"/>
        <v>107.91052918712492</v>
      </c>
      <c r="RN36" s="90">
        <f t="shared" si="282"/>
        <v>3260.3949999999995</v>
      </c>
      <c r="RO36" s="90"/>
      <c r="RP36" s="90"/>
      <c r="RQ36" s="99">
        <v>570</v>
      </c>
      <c r="RR36" s="90">
        <f t="shared" si="283"/>
        <v>3379.0949999999993</v>
      </c>
      <c r="RS36" s="90">
        <f t="shared" si="284"/>
        <v>10.879249839021247</v>
      </c>
      <c r="RT36" s="90">
        <f t="shared" si="549"/>
        <v>14.579999999999998</v>
      </c>
      <c r="RU36" s="90">
        <f t="shared" si="285"/>
        <v>4528.5479999999998</v>
      </c>
      <c r="RV36" s="90">
        <f t="shared" si="286"/>
        <v>0.65402653797069688</v>
      </c>
      <c r="RW36" s="90">
        <v>10.43</v>
      </c>
      <c r="RX36" s="90">
        <f t="shared" si="287"/>
        <v>10.951499999999999</v>
      </c>
      <c r="RY36" s="90">
        <f t="shared" si="288"/>
        <v>3401.5358999999999</v>
      </c>
      <c r="RZ36" s="90">
        <f t="shared" si="289"/>
        <v>897.39704930628568</v>
      </c>
      <c r="SA36" s="90">
        <f t="shared" si="290"/>
        <v>401.4928215908277</v>
      </c>
      <c r="SB36" s="90">
        <f t="shared" si="291"/>
        <v>607.09791705334203</v>
      </c>
      <c r="SC36" s="90">
        <f t="shared" si="292"/>
        <v>1103.0021447688</v>
      </c>
      <c r="SD36" s="90">
        <f t="shared" si="293"/>
        <v>1103.0021447688</v>
      </c>
      <c r="SE36" s="90">
        <f t="shared" si="294"/>
        <v>1119.6158281920907</v>
      </c>
      <c r="SF36" s="90">
        <f t="shared" si="295"/>
        <v>1102.9391013969307</v>
      </c>
      <c r="SG36" s="90">
        <f t="shared" si="296"/>
        <v>6.3043371869298426E-2</v>
      </c>
      <c r="SH36" s="90">
        <f t="shared" si="297"/>
        <v>1103.0021442516506</v>
      </c>
      <c r="SI36" s="90">
        <f t="shared" si="298"/>
        <v>3.5511981479999997</v>
      </c>
      <c r="SJ36" s="90">
        <f t="shared" si="299"/>
        <v>3.5509951751349988</v>
      </c>
      <c r="SK36" s="90"/>
      <c r="SL36" s="90"/>
      <c r="SM36" s="90"/>
      <c r="SN36" s="90">
        <f t="shared" si="300"/>
        <v>1180.8800000000001</v>
      </c>
      <c r="SO36" s="90" t="e">
        <f>RU36-#REF!-#REF!-HZ36-LT36-LZ36-MF36-ML36-QL36-QN36-SD36</f>
        <v>#REF!</v>
      </c>
      <c r="SP36" s="90">
        <f t="shared" si="301"/>
        <v>1155.94</v>
      </c>
      <c r="SQ36" s="90">
        <f t="shared" si="302"/>
        <v>1217.5499999999997</v>
      </c>
      <c r="SR36" s="90">
        <f t="shared" si="303"/>
        <v>3.7216355441081777</v>
      </c>
      <c r="SS36" s="90">
        <f t="shared" si="304"/>
        <v>3.9199935608499668</v>
      </c>
      <c r="ST36" s="90">
        <f t="shared" si="305"/>
        <v>1222.2120000000002</v>
      </c>
      <c r="SU36" s="90">
        <v>3.7216355441081777</v>
      </c>
      <c r="SV36" s="90">
        <f t="shared" si="306"/>
        <v>3.94</v>
      </c>
      <c r="SW36" s="90">
        <v>3.92</v>
      </c>
      <c r="SX36" s="90">
        <f t="shared" si="307"/>
        <v>1217.55</v>
      </c>
      <c r="SY36" s="90">
        <v>3.7216355441081777</v>
      </c>
      <c r="SZ36" s="90">
        <f t="shared" si="308"/>
        <v>1155.94</v>
      </c>
      <c r="TA36" s="90">
        <f t="shared" si="309"/>
        <v>0</v>
      </c>
      <c r="TB36" s="90">
        <v>0</v>
      </c>
      <c r="TC36" s="90">
        <f t="shared" si="310"/>
        <v>1491.2492999999999</v>
      </c>
      <c r="TD36" s="90" t="e">
        <f>#REF!+#REF!</f>
        <v>#REF!</v>
      </c>
      <c r="TE36" s="90" t="e">
        <f t="shared" si="311"/>
        <v>#REF!</v>
      </c>
      <c r="TF36" s="90">
        <v>1319.9242999999997</v>
      </c>
      <c r="TG36" s="90">
        <f t="shared" si="312"/>
        <v>32.929965631367935</v>
      </c>
      <c r="TH36" s="95"/>
      <c r="TI36" s="95"/>
      <c r="TJ36" s="95"/>
      <c r="TK36" s="95"/>
      <c r="TL36" s="95"/>
      <c r="TM36" s="95">
        <f t="shared" si="313"/>
        <v>0</v>
      </c>
      <c r="TN36" s="95">
        <f t="shared" si="314"/>
        <v>4528.5479999999998</v>
      </c>
      <c r="TO36" s="95">
        <f t="shared" si="315"/>
        <v>32.929965631367935</v>
      </c>
      <c r="TP36" s="95"/>
      <c r="TQ36" s="95">
        <f t="shared" si="316"/>
        <v>14.579999999999998</v>
      </c>
      <c r="TR36" s="95"/>
      <c r="TS36" s="95"/>
      <c r="TT36" s="95"/>
      <c r="TU36" s="95"/>
      <c r="TV36" s="95"/>
      <c r="TW36" s="95"/>
      <c r="TX36" s="95"/>
      <c r="TY36" s="95"/>
      <c r="TZ36" s="95">
        <f t="shared" si="317"/>
        <v>2.5</v>
      </c>
      <c r="UA36" s="95">
        <f t="shared" si="318"/>
        <v>0.64151999999999998</v>
      </c>
      <c r="UB36" s="90">
        <v>0</v>
      </c>
      <c r="UC36" s="90">
        <f t="shared" si="319"/>
        <v>0</v>
      </c>
      <c r="UD36" s="90">
        <f t="shared" si="320"/>
        <v>0</v>
      </c>
      <c r="UE36" s="90">
        <f t="shared" si="321"/>
        <v>0</v>
      </c>
      <c r="UF36" s="90">
        <f t="shared" si="322"/>
        <v>4528.5479999999998</v>
      </c>
      <c r="UG36" s="91">
        <f t="shared" si="323"/>
        <v>0</v>
      </c>
      <c r="UH36" s="95">
        <f t="shared" si="324"/>
        <v>32.929965631367935</v>
      </c>
      <c r="UI36" s="95">
        <f t="shared" si="325"/>
        <v>4528.5479999999998</v>
      </c>
      <c r="UJ36" s="101">
        <f t="shared" si="326"/>
        <v>0</v>
      </c>
      <c r="UK36" s="101">
        <f t="shared" si="327"/>
        <v>32.929965631367935</v>
      </c>
      <c r="UL36" s="90" t="e">
        <f>(#REF!+#REF!+HZ36+LT36+LZ36+MF36+ML36+QL36+QN36+SN36+TC36+TM36+UC36)/I36</f>
        <v>#REF!</v>
      </c>
      <c r="UN36" s="90" t="e">
        <f>#REF!/I36</f>
        <v>#REF!</v>
      </c>
      <c r="UO36" s="90" t="e">
        <f>#REF!/I36</f>
        <v>#REF!</v>
      </c>
      <c r="UP36" s="90">
        <v>1.1499999999999999</v>
      </c>
      <c r="UQ36" s="90" t="e">
        <f t="shared" si="328"/>
        <v>#REF!</v>
      </c>
      <c r="UR36" s="90">
        <f t="shared" si="329"/>
        <v>3379.0949999999993</v>
      </c>
      <c r="US36" s="90">
        <f t="shared" si="330"/>
        <v>4412.8399999999992</v>
      </c>
      <c r="UT36" s="90">
        <f t="shared" si="331"/>
        <v>4412.8399999999992</v>
      </c>
      <c r="UU36" s="90">
        <f t="shared" si="516"/>
        <v>4555.7199999999993</v>
      </c>
      <c r="UV36" s="90">
        <f t="shared" si="333"/>
        <v>4539.38</v>
      </c>
      <c r="UW36" s="90">
        <f t="shared" si="334"/>
        <v>6.6</v>
      </c>
      <c r="UX36" s="90">
        <f t="shared" si="335"/>
        <v>3.92</v>
      </c>
      <c r="UY36" s="90">
        <f t="shared" si="336"/>
        <v>3.8019317450096586</v>
      </c>
      <c r="UZ36" s="100">
        <f t="shared" si="337"/>
        <v>3.5511981479999997</v>
      </c>
      <c r="VA36" s="90">
        <f t="shared" si="338"/>
        <v>0.74</v>
      </c>
      <c r="VB36" s="90">
        <f t="shared" si="339"/>
        <v>1.94</v>
      </c>
      <c r="VC36" s="90">
        <f t="shared" si="340"/>
        <v>0</v>
      </c>
      <c r="VD36" s="90">
        <f t="shared" si="341"/>
        <v>0</v>
      </c>
      <c r="VE36" s="90">
        <f t="shared" si="342"/>
        <v>0</v>
      </c>
      <c r="VF36" s="90">
        <f t="shared" si="343"/>
        <v>0</v>
      </c>
      <c r="VG36" s="90">
        <f t="shared" si="344"/>
        <v>0</v>
      </c>
      <c r="VH36" s="90">
        <f t="shared" si="345"/>
        <v>0</v>
      </c>
      <c r="VI36" s="90">
        <f t="shared" si="346"/>
        <v>0</v>
      </c>
      <c r="VJ36" s="90">
        <f t="shared" si="347"/>
        <v>0</v>
      </c>
      <c r="VK36" s="90">
        <f t="shared" si="348"/>
        <v>0.69</v>
      </c>
      <c r="VL36" s="90">
        <f t="shared" si="349"/>
        <v>3.64</v>
      </c>
      <c r="VM36" s="90">
        <f t="shared" si="350"/>
        <v>5.7</v>
      </c>
      <c r="VN36" s="90">
        <f t="shared" si="351"/>
        <v>0</v>
      </c>
      <c r="VO36" s="90">
        <f t="shared" si="352"/>
        <v>5.7</v>
      </c>
      <c r="VP36" s="97">
        <v>0</v>
      </c>
      <c r="VQ36" s="97">
        <v>5.7</v>
      </c>
      <c r="VR36" s="90">
        <f t="shared" si="353"/>
        <v>0.48</v>
      </c>
      <c r="VS36" s="90">
        <f t="shared" si="354"/>
        <v>0.17</v>
      </c>
      <c r="VT36" s="90">
        <v>0.11989898989898991</v>
      </c>
      <c r="VU36" s="90">
        <f t="shared" si="355"/>
        <v>0.16589999999999999</v>
      </c>
      <c r="VV36" s="90">
        <v>0.38175323599898991</v>
      </c>
      <c r="VW36" s="90">
        <f t="shared" si="356"/>
        <v>0.65</v>
      </c>
      <c r="VX36" s="90">
        <f t="shared" si="357"/>
        <v>16.59</v>
      </c>
      <c r="VY36" s="90">
        <f t="shared" si="358"/>
        <v>16.59</v>
      </c>
      <c r="VZ36" s="90">
        <f t="shared" si="359"/>
        <v>0</v>
      </c>
      <c r="WA36" s="90"/>
      <c r="WB36" s="90">
        <f t="shared" si="360"/>
        <v>16.59</v>
      </c>
      <c r="WC36" s="90">
        <f t="shared" si="361"/>
        <v>0</v>
      </c>
      <c r="WD36" s="90"/>
      <c r="WE36" s="90">
        <v>16.59</v>
      </c>
      <c r="WF36" s="90"/>
      <c r="WG36" s="90">
        <f t="shared" si="362"/>
        <v>5152.8540000000003</v>
      </c>
      <c r="WH36" s="90">
        <f t="shared" si="363"/>
        <v>5152.8540000000003</v>
      </c>
      <c r="WI36" s="90">
        <f t="shared" si="364"/>
        <v>5149.5149999999994</v>
      </c>
      <c r="WJ36" s="90">
        <f t="shared" si="365"/>
        <v>3379.0949999999993</v>
      </c>
      <c r="WK36" s="97">
        <v>1770.42</v>
      </c>
      <c r="WL36" s="97">
        <v>5.7</v>
      </c>
      <c r="WM36" s="90">
        <f t="shared" si="366"/>
        <v>1770.42</v>
      </c>
      <c r="WN36" s="90">
        <f t="shared" si="367"/>
        <v>5.7</v>
      </c>
      <c r="WO36" s="90"/>
      <c r="WP36" s="97">
        <v>16.59</v>
      </c>
      <c r="WQ36" s="90">
        <f t="shared" si="368"/>
        <v>16.59</v>
      </c>
      <c r="WR36" s="91">
        <f t="shared" si="369"/>
        <v>113.78600823045268</v>
      </c>
      <c r="WS36" s="91">
        <f t="shared" si="370"/>
        <v>147.07446808510639</v>
      </c>
      <c r="WT36" s="90">
        <f t="shared" si="371"/>
        <v>5152.8500000000004</v>
      </c>
      <c r="WU36" s="90">
        <f t="shared" si="372"/>
        <v>5149.5149999999994</v>
      </c>
      <c r="WV36" s="90">
        <f t="shared" si="373"/>
        <v>3.3350000000009459</v>
      </c>
      <c r="WW36" s="90">
        <v>3.3</v>
      </c>
      <c r="WX36" s="90"/>
      <c r="WY36" s="90"/>
      <c r="WZ36" s="90">
        <f t="shared" si="374"/>
        <v>4.5520434343434344</v>
      </c>
      <c r="XA36" s="90">
        <v>0</v>
      </c>
      <c r="XB36" s="90">
        <f t="shared" si="375"/>
        <v>4.5520434343434344</v>
      </c>
      <c r="XC36" s="90">
        <f t="shared" si="376"/>
        <v>0.46229999999999999</v>
      </c>
      <c r="XD36" s="90">
        <f t="shared" si="377"/>
        <v>0.15565656565656566</v>
      </c>
      <c r="XE36" s="90"/>
      <c r="XF36" s="90">
        <f t="shared" si="378"/>
        <v>15.41</v>
      </c>
      <c r="XG36" s="90">
        <v>4.2495952994204753</v>
      </c>
      <c r="XH36" s="20">
        <v>14.579999999999998</v>
      </c>
      <c r="XI36" s="20">
        <v>0</v>
      </c>
      <c r="XJ36" s="20"/>
      <c r="XK36" s="20"/>
      <c r="XL36" s="20"/>
      <c r="XM36" s="20">
        <f t="shared" si="379"/>
        <v>14.579999999999998</v>
      </c>
      <c r="XN36" s="91">
        <f t="shared" si="380"/>
        <v>113.78600823045268</v>
      </c>
      <c r="XO36" s="20">
        <f t="shared" si="381"/>
        <v>14.579999999999998</v>
      </c>
      <c r="XP36" s="90">
        <f t="shared" si="382"/>
        <v>11.279999999999998</v>
      </c>
      <c r="XQ36" s="91">
        <f t="shared" si="383"/>
        <v>113.78600823045268</v>
      </c>
      <c r="XR36" s="102"/>
      <c r="XS36" s="90">
        <f t="shared" si="384"/>
        <v>3.64</v>
      </c>
      <c r="XT36" s="90">
        <f t="shared" si="385"/>
        <v>6.6</v>
      </c>
      <c r="XU36" s="90">
        <f t="shared" si="386"/>
        <v>3.92</v>
      </c>
      <c r="XV36" s="90">
        <f t="shared" si="387"/>
        <v>0.74</v>
      </c>
      <c r="XW36" s="90">
        <f t="shared" si="388"/>
        <v>0.74</v>
      </c>
      <c r="XX36" s="90">
        <f t="shared" si="389"/>
        <v>0</v>
      </c>
      <c r="XY36" s="90">
        <f t="shared" si="390"/>
        <v>1.94</v>
      </c>
      <c r="XZ36" s="90">
        <f t="shared" si="391"/>
        <v>0</v>
      </c>
      <c r="YA36" s="90">
        <f t="shared" si="392"/>
        <v>0</v>
      </c>
      <c r="YB36" s="90">
        <f t="shared" si="537"/>
        <v>0</v>
      </c>
      <c r="YC36" s="90">
        <f t="shared" si="537"/>
        <v>0</v>
      </c>
      <c r="YD36" s="90">
        <f t="shared" si="394"/>
        <v>1.94</v>
      </c>
      <c r="YE36" s="90">
        <f t="shared" si="395"/>
        <v>5.7</v>
      </c>
      <c r="YF36" s="90">
        <f t="shared" si="396"/>
        <v>0.65</v>
      </c>
      <c r="YG36" s="90">
        <f t="shared" si="397"/>
        <v>16.59</v>
      </c>
      <c r="YI36" s="103" t="s">
        <v>515</v>
      </c>
      <c r="YK36" s="90">
        <f t="shared" si="398"/>
        <v>1.07</v>
      </c>
      <c r="YL36" s="90">
        <f t="shared" si="538"/>
        <v>0.74</v>
      </c>
      <c r="YM36" s="90">
        <f t="shared" si="538"/>
        <v>1.94</v>
      </c>
      <c r="YN36" s="90">
        <f t="shared" si="400"/>
        <v>3.64</v>
      </c>
      <c r="YO36" s="90">
        <f t="shared" si="401"/>
        <v>9.2000000000000011</v>
      </c>
      <c r="YP36" s="90">
        <f t="shared" si="402"/>
        <v>0</v>
      </c>
      <c r="YQ36" s="90">
        <f t="shared" si="403"/>
        <v>16.59</v>
      </c>
      <c r="YR36" s="90">
        <f t="shared" si="404"/>
        <v>0</v>
      </c>
      <c r="YS36" s="104">
        <f t="shared" si="405"/>
        <v>16.590000000000003</v>
      </c>
      <c r="YT36" s="104">
        <f t="shared" si="406"/>
        <v>0</v>
      </c>
      <c r="YY36" s="90">
        <f t="shared" si="407"/>
        <v>9.33</v>
      </c>
      <c r="YZ36" s="90">
        <f t="shared" si="408"/>
        <v>4.18</v>
      </c>
      <c r="ZA36" s="90">
        <f t="shared" si="409"/>
        <v>0.78</v>
      </c>
      <c r="ZB36" s="90">
        <f t="shared" si="410"/>
        <v>4.37</v>
      </c>
      <c r="ZC36" s="90">
        <f t="shared" si="411"/>
        <v>0</v>
      </c>
      <c r="ZD36" s="90">
        <f t="shared" si="412"/>
        <v>0</v>
      </c>
      <c r="ZE36" s="90">
        <f t="shared" si="413"/>
        <v>0</v>
      </c>
      <c r="ZF36" s="90">
        <f t="shared" si="414"/>
        <v>0</v>
      </c>
      <c r="ZG36" s="90">
        <f t="shared" si="415"/>
        <v>0</v>
      </c>
      <c r="ZH36" s="90">
        <f t="shared" si="416"/>
        <v>0</v>
      </c>
      <c r="ZI36" s="90">
        <f t="shared" si="417"/>
        <v>0</v>
      </c>
      <c r="ZJ36" s="90">
        <f t="shared" si="418"/>
        <v>0</v>
      </c>
      <c r="ZK36" s="90">
        <f t="shared" si="419"/>
        <v>0</v>
      </c>
      <c r="ZL36" s="90">
        <f t="shared" si="420"/>
        <v>0.04</v>
      </c>
      <c r="ZM36" s="90">
        <f t="shared" si="421"/>
        <v>4.1100000000000003</v>
      </c>
      <c r="ZN36" s="90">
        <f t="shared" si="422"/>
        <v>9.07</v>
      </c>
      <c r="ZO36" s="90">
        <f t="shared" si="423"/>
        <v>7.64</v>
      </c>
      <c r="ZP36" s="90">
        <f t="shared" si="424"/>
        <v>4.7</v>
      </c>
      <c r="ZQ36" s="90">
        <f t="shared" si="425"/>
        <v>0</v>
      </c>
      <c r="ZR36" s="90">
        <f t="shared" si="426"/>
        <v>4.7</v>
      </c>
      <c r="ZS36" s="97">
        <v>227</v>
      </c>
      <c r="ZT36" s="97">
        <v>230.38</v>
      </c>
      <c r="ZU36" s="90">
        <f t="shared" si="427"/>
        <v>0.56999999999999995</v>
      </c>
      <c r="ZV36" s="90">
        <f t="shared" si="428"/>
        <v>0.2</v>
      </c>
      <c r="ZW36" s="90">
        <v>0.11989898989898991</v>
      </c>
      <c r="ZX36" s="90">
        <f t="shared" si="429"/>
        <v>0.18910000000000002</v>
      </c>
      <c r="ZY36" s="90">
        <v>0.38175323599898991</v>
      </c>
      <c r="ZZ36" s="90">
        <f t="shared" si="430"/>
        <v>0.77</v>
      </c>
      <c r="AAA36" s="90">
        <f t="shared" si="431"/>
        <v>18.91</v>
      </c>
      <c r="AAB36" s="90">
        <f t="shared" si="432"/>
        <v>18.91</v>
      </c>
      <c r="AAC36" s="90">
        <f t="shared" si="433"/>
        <v>0</v>
      </c>
      <c r="AAD36" s="90"/>
      <c r="AAE36" s="90">
        <f t="shared" si="434"/>
        <v>18.91</v>
      </c>
      <c r="AAF36" s="90">
        <v>16.59</v>
      </c>
      <c r="AAG36" s="90">
        <f t="shared" si="435"/>
        <v>113.98432790837853</v>
      </c>
      <c r="AAH36" s="90">
        <f t="shared" si="436"/>
        <v>0</v>
      </c>
      <c r="AAI36" s="90">
        <v>0</v>
      </c>
      <c r="AAJ36" s="90"/>
      <c r="AAK36" s="1">
        <v>18.329999999999998</v>
      </c>
      <c r="AAL36" s="104">
        <f t="shared" si="437"/>
        <v>0.58000000000000185</v>
      </c>
      <c r="AAM36" s="103" t="s">
        <v>478</v>
      </c>
      <c r="AAN36" s="105">
        <v>9.01</v>
      </c>
      <c r="AAO36" s="90">
        <f t="shared" si="438"/>
        <v>10.199999999999999</v>
      </c>
      <c r="AAP36" s="90">
        <v>4.21</v>
      </c>
      <c r="AAQ36" s="90">
        <f t="shared" si="439"/>
        <v>4.18</v>
      </c>
      <c r="AAR36" s="90">
        <v>0.78</v>
      </c>
      <c r="AAS36" s="90">
        <f t="shared" si="440"/>
        <v>1.19</v>
      </c>
      <c r="AAT36" s="90">
        <f t="shared" si="441"/>
        <v>152.56410256410254</v>
      </c>
      <c r="AAU36" s="90">
        <v>4.0199999999999996</v>
      </c>
      <c r="AAV36" s="90">
        <f t="shared" si="442"/>
        <v>4.37</v>
      </c>
      <c r="AAW36" s="90">
        <f t="shared" si="443"/>
        <v>108.70646766169156</v>
      </c>
      <c r="AAX36" s="90">
        <f t="shared" si="444"/>
        <v>0.46</v>
      </c>
      <c r="AAY36" s="90">
        <f t="shared" si="445"/>
        <v>0</v>
      </c>
      <c r="AAZ36" s="90">
        <f t="shared" si="446"/>
        <v>0</v>
      </c>
      <c r="ABA36" s="90">
        <f t="shared" si="447"/>
        <v>0</v>
      </c>
      <c r="ABB36" s="90">
        <f t="shared" si="448"/>
        <v>0</v>
      </c>
      <c r="ABC36" s="90">
        <v>0</v>
      </c>
      <c r="ABD36" s="90">
        <f t="shared" si="449"/>
        <v>0</v>
      </c>
      <c r="ABE36" s="90"/>
      <c r="ABF36" s="90">
        <v>0</v>
      </c>
      <c r="ABG36" s="90">
        <f t="shared" si="450"/>
        <v>0</v>
      </c>
      <c r="ABH36" s="90"/>
      <c r="ABI36" s="90">
        <f t="shared" si="451"/>
        <v>0</v>
      </c>
      <c r="ABJ36" s="90">
        <f t="shared" si="452"/>
        <v>0</v>
      </c>
      <c r="ABK36" s="90">
        <v>0</v>
      </c>
      <c r="ABL36" s="90">
        <f t="shared" si="453"/>
        <v>0</v>
      </c>
      <c r="ABM36" s="90">
        <f t="shared" si="454"/>
        <v>0</v>
      </c>
      <c r="ABN36" s="90">
        <f t="shared" si="455"/>
        <v>0.02</v>
      </c>
      <c r="ABO36" s="90">
        <v>3.91</v>
      </c>
      <c r="ABP36" s="90">
        <f t="shared" si="456"/>
        <v>4.1100000000000003</v>
      </c>
      <c r="ABQ36" s="90">
        <f t="shared" si="457"/>
        <v>105.1150895140665</v>
      </c>
      <c r="ABR36" s="90">
        <f t="shared" si="458"/>
        <v>9.07</v>
      </c>
      <c r="ABS36" s="90">
        <f t="shared" si="459"/>
        <v>7.64</v>
      </c>
      <c r="ABT36" s="90">
        <v>4.7</v>
      </c>
      <c r="ABU36" s="90">
        <f t="shared" si="460"/>
        <v>4.7</v>
      </c>
      <c r="ABV36" s="90">
        <f t="shared" si="461"/>
        <v>100</v>
      </c>
      <c r="ABW36" s="90">
        <f t="shared" si="462"/>
        <v>0.01</v>
      </c>
      <c r="ABX36" s="90">
        <f t="shared" si="463"/>
        <v>4.71</v>
      </c>
      <c r="ABY36" s="97">
        <v>227</v>
      </c>
      <c r="ABZ36" s="97">
        <v>230.38</v>
      </c>
      <c r="ACA36" s="90">
        <f t="shared" si="464"/>
        <v>0.56999999999999995</v>
      </c>
      <c r="ACB36" s="90">
        <f t="shared" si="465"/>
        <v>0.2</v>
      </c>
      <c r="ACC36" s="90">
        <v>0.11989898989898991</v>
      </c>
      <c r="ACD36" s="90">
        <f t="shared" si="466"/>
        <v>0.1933</v>
      </c>
      <c r="ACE36" s="90">
        <v>0.38175323599898991</v>
      </c>
      <c r="ACF36" s="90">
        <v>0.71</v>
      </c>
      <c r="ACG36" s="90">
        <f t="shared" si="467"/>
        <v>0.77</v>
      </c>
      <c r="ACH36" s="90">
        <f t="shared" si="468"/>
        <v>108.45070422535213</v>
      </c>
      <c r="ACI36" s="90">
        <f t="shared" si="469"/>
        <v>19.779999999999998</v>
      </c>
      <c r="ACJ36" s="90">
        <f t="shared" si="470"/>
        <v>19.329999999999998</v>
      </c>
      <c r="ACK36" s="90">
        <f t="shared" si="471"/>
        <v>-0.44999999999999929</v>
      </c>
      <c r="ACL36" s="90"/>
      <c r="ACM36" s="90">
        <f t="shared" si="472"/>
        <v>19.779999999999998</v>
      </c>
      <c r="ACN36" s="90">
        <f t="shared" si="473"/>
        <v>0</v>
      </c>
      <c r="ACO36" s="90">
        <f t="shared" si="474"/>
        <v>19.779999999999998</v>
      </c>
      <c r="ACP36" s="90">
        <v>18.330000000000002</v>
      </c>
      <c r="ACQ36" s="90">
        <f t="shared" si="475"/>
        <v>107.91052918712492</v>
      </c>
      <c r="ACR36" s="90">
        <f t="shared" si="476"/>
        <v>0</v>
      </c>
      <c r="ACS36" s="90">
        <v>0</v>
      </c>
      <c r="ACT36" s="90"/>
      <c r="ACU36" s="90">
        <f t="shared" si="477"/>
        <v>19.26483</v>
      </c>
      <c r="ACV36" s="90">
        <f t="shared" si="478"/>
        <v>-0.51516999999999769</v>
      </c>
      <c r="ACX36" s="106" t="s">
        <v>483</v>
      </c>
      <c r="ACY36" s="107"/>
      <c r="ACZ36" s="107"/>
      <c r="ADB36" s="90">
        <f t="shared" si="479"/>
        <v>4.1100000000000003</v>
      </c>
      <c r="ADC36" s="90">
        <f t="shared" si="480"/>
        <v>10.199999999999999</v>
      </c>
      <c r="ADD36" s="90">
        <f t="shared" si="481"/>
        <v>4.18</v>
      </c>
      <c r="ADE36" s="90">
        <f t="shared" si="517"/>
        <v>1.65</v>
      </c>
      <c r="ADF36" s="90">
        <f t="shared" si="483"/>
        <v>1.19</v>
      </c>
      <c r="ADG36" s="90">
        <f t="shared" si="539"/>
        <v>0.46</v>
      </c>
      <c r="ADH36" s="90">
        <f t="shared" si="539"/>
        <v>0</v>
      </c>
      <c r="ADI36" s="90">
        <f t="shared" si="539"/>
        <v>0</v>
      </c>
      <c r="ADJ36" s="90">
        <f t="shared" si="485"/>
        <v>4.37</v>
      </c>
      <c r="ADK36" s="90">
        <f t="shared" si="486"/>
        <v>0</v>
      </c>
      <c r="ADL36" s="90">
        <f t="shared" si="487"/>
        <v>0</v>
      </c>
      <c r="ADM36" s="90">
        <f t="shared" si="540"/>
        <v>0</v>
      </c>
      <c r="ADN36" s="90">
        <f t="shared" si="540"/>
        <v>0</v>
      </c>
      <c r="ADO36" s="90">
        <f t="shared" si="489"/>
        <v>4.37</v>
      </c>
      <c r="ADP36" s="90">
        <f t="shared" si="490"/>
        <v>4.7</v>
      </c>
      <c r="ADQ36" s="90">
        <f t="shared" si="491"/>
        <v>0.77</v>
      </c>
      <c r="ADR36" s="90">
        <f t="shared" si="492"/>
        <v>19.779999999999998</v>
      </c>
      <c r="ADU36" s="90">
        <f t="shared" si="493"/>
        <v>1.1499999999999999</v>
      </c>
      <c r="ADV36" s="90">
        <f t="shared" si="494"/>
        <v>1.19</v>
      </c>
      <c r="ADW36" s="90">
        <f t="shared" si="495"/>
        <v>4.37</v>
      </c>
      <c r="ADX36" s="90">
        <f t="shared" si="496"/>
        <v>4.1100000000000003</v>
      </c>
      <c r="ADY36" s="90">
        <f t="shared" si="497"/>
        <v>8.5</v>
      </c>
      <c r="ADZ36" s="90">
        <f t="shared" si="498"/>
        <v>0</v>
      </c>
      <c r="AEA36" s="90">
        <f t="shared" si="499"/>
        <v>19.779999999999998</v>
      </c>
      <c r="AEB36" s="90">
        <f t="shared" si="500"/>
        <v>0</v>
      </c>
      <c r="AEC36" s="104">
        <f t="shared" si="501"/>
        <v>19.32</v>
      </c>
      <c r="AED36" s="104">
        <f t="shared" si="502"/>
        <v>0.4599999999999973</v>
      </c>
      <c r="AEG36" s="1">
        <v>9.01</v>
      </c>
      <c r="AEH36" s="1">
        <v>4.21</v>
      </c>
      <c r="AEI36" s="1">
        <v>0.78</v>
      </c>
      <c r="AEJ36" s="1">
        <v>4.0199999999999996</v>
      </c>
      <c r="AEK36" s="1">
        <v>0</v>
      </c>
      <c r="AEL36" s="1">
        <v>0</v>
      </c>
      <c r="AEM36" s="1">
        <v>0</v>
      </c>
      <c r="AEN36" s="1">
        <v>0</v>
      </c>
      <c r="AEO36" s="1">
        <v>0</v>
      </c>
      <c r="AEP36" s="1">
        <v>0</v>
      </c>
      <c r="AEQ36" s="1">
        <v>0</v>
      </c>
      <c r="AER36" s="1">
        <v>0</v>
      </c>
      <c r="AES36" s="1">
        <v>0</v>
      </c>
      <c r="AET36" s="1">
        <v>0</v>
      </c>
      <c r="AEU36" s="1">
        <v>0</v>
      </c>
      <c r="AEV36" s="1">
        <v>0.02</v>
      </c>
      <c r="AEW36" s="1">
        <v>3.91</v>
      </c>
      <c r="AEX36" s="1">
        <v>8.7199999999999989</v>
      </c>
      <c r="AEY36" s="1">
        <v>7.64</v>
      </c>
      <c r="AEZ36" s="1">
        <v>4.7</v>
      </c>
      <c r="AFA36" s="1">
        <v>0.01</v>
      </c>
      <c r="AFB36" s="1">
        <v>4.71</v>
      </c>
      <c r="AFC36" s="1">
        <v>227</v>
      </c>
      <c r="AFD36" s="1">
        <v>230.38</v>
      </c>
      <c r="AFE36" s="1">
        <v>0.53</v>
      </c>
      <c r="AFF36" s="1">
        <v>0.18</v>
      </c>
      <c r="AFG36" s="1">
        <v>0.11989898989898991</v>
      </c>
      <c r="AFH36" s="1">
        <v>0.18340000000000004</v>
      </c>
      <c r="AFI36" s="1">
        <v>0.38175323599898991</v>
      </c>
      <c r="AFJ36" s="1">
        <v>0.71</v>
      </c>
      <c r="AFK36" s="1">
        <v>18.330000000000002</v>
      </c>
      <c r="AFL36" s="1">
        <v>18.340000000000003</v>
      </c>
      <c r="AFM36" s="1">
        <v>1.0000000000001563E-2</v>
      </c>
      <c r="AFO36" s="1">
        <v>18.330000000000002</v>
      </c>
      <c r="AFP36" s="1">
        <v>0</v>
      </c>
      <c r="AFQ36" s="1">
        <v>18.329999999999998</v>
      </c>
      <c r="AFX36" s="1">
        <v>19.399999999999999</v>
      </c>
    </row>
    <row r="37" spans="1:856" s="1" customFormat="1" ht="63.75" customHeight="1">
      <c r="A37" s="88">
        <v>29</v>
      </c>
      <c r="B37" s="20"/>
      <c r="C37" s="89" t="s">
        <v>516</v>
      </c>
      <c r="D37" s="20"/>
      <c r="E37" s="20" t="s">
        <v>437</v>
      </c>
      <c r="F37" s="20" t="s">
        <v>438</v>
      </c>
      <c r="G37" s="20">
        <v>0.8</v>
      </c>
      <c r="H37" s="20">
        <v>317.60000000000002</v>
      </c>
      <c r="I37" s="20">
        <f>317.6-0.1-0.3</f>
        <v>317.2</v>
      </c>
      <c r="J37" s="20">
        <f t="shared" si="0"/>
        <v>253.76</v>
      </c>
      <c r="K37" s="20">
        <v>8</v>
      </c>
      <c r="L37" s="20"/>
      <c r="M37" s="20"/>
      <c r="N37" s="20"/>
      <c r="O37" s="90">
        <f t="shared" si="1"/>
        <v>0</v>
      </c>
      <c r="P37" s="20"/>
      <c r="Q37" s="20"/>
      <c r="R37" s="90">
        <f t="shared" si="2"/>
        <v>0</v>
      </c>
      <c r="S37" s="20">
        <v>24.4</v>
      </c>
      <c r="T37" s="20">
        <v>2.6</v>
      </c>
      <c r="U37" s="20">
        <v>3.13</v>
      </c>
      <c r="V37" s="91">
        <f t="shared" si="3"/>
        <v>198.57</v>
      </c>
      <c r="W37" s="20">
        <v>2.1000000000000001E-2</v>
      </c>
      <c r="X37" s="20">
        <f t="shared" si="4"/>
        <v>33.42</v>
      </c>
      <c r="Y37" s="91">
        <f t="shared" si="5"/>
        <v>17.12</v>
      </c>
      <c r="Z37" s="20"/>
      <c r="AA37" s="20"/>
      <c r="AB37" s="20"/>
      <c r="AC37" s="91">
        <f t="shared" si="6"/>
        <v>215.69</v>
      </c>
      <c r="AD37" s="90">
        <f t="shared" si="7"/>
        <v>0.68</v>
      </c>
      <c r="AE37" s="92">
        <f t="shared" si="8"/>
        <v>2588.2799999999997</v>
      </c>
      <c r="AF37" s="20">
        <v>20</v>
      </c>
      <c r="AG37" s="20">
        <v>20</v>
      </c>
      <c r="AH37" s="20">
        <v>20</v>
      </c>
      <c r="AI37" s="20">
        <v>18</v>
      </c>
      <c r="AJ37" s="20">
        <v>1.6</v>
      </c>
      <c r="AK37" s="90">
        <f t="shared" si="9"/>
        <v>2.67</v>
      </c>
      <c r="AL37" s="90">
        <v>391.01</v>
      </c>
      <c r="AM37" s="90">
        <f t="shared" si="10"/>
        <v>1044</v>
      </c>
      <c r="AN37" s="20">
        <v>20</v>
      </c>
      <c r="AO37" s="20">
        <v>20</v>
      </c>
      <c r="AP37" s="20">
        <v>20</v>
      </c>
      <c r="AQ37" s="20">
        <v>20</v>
      </c>
      <c r="AR37" s="20">
        <v>20</v>
      </c>
      <c r="AS37" s="20">
        <f>1+20</f>
        <v>21</v>
      </c>
      <c r="AT37" s="20">
        <f t="shared" si="11"/>
        <v>0</v>
      </c>
      <c r="AU37" s="20">
        <v>1.6</v>
      </c>
      <c r="AV37" s="90">
        <f t="shared" si="12"/>
        <v>2.67</v>
      </c>
      <c r="AW37" s="90">
        <f t="shared" si="548"/>
        <v>180.78</v>
      </c>
      <c r="AX37" s="90">
        <v>506.18</v>
      </c>
      <c r="AY37" s="90">
        <f t="shared" si="14"/>
        <v>1.6</v>
      </c>
      <c r="AZ37" s="90">
        <f t="shared" si="15"/>
        <v>1042.69</v>
      </c>
      <c r="BA37" s="90">
        <f t="shared" si="16"/>
        <v>-536.51</v>
      </c>
      <c r="BB37" s="90">
        <v>506.18</v>
      </c>
      <c r="BC37" s="90">
        <v>1.6</v>
      </c>
      <c r="BD37" s="92">
        <f t="shared" si="17"/>
        <v>6074.16</v>
      </c>
      <c r="BE37" s="90"/>
      <c r="BF37" s="90">
        <f t="shared" si="18"/>
        <v>0</v>
      </c>
      <c r="BG37" s="90">
        <v>391.01</v>
      </c>
      <c r="BH37" s="90">
        <f t="shared" si="19"/>
        <v>1044</v>
      </c>
      <c r="BI37" s="90">
        <f t="shared" si="20"/>
        <v>3.29</v>
      </c>
      <c r="BJ37" s="90">
        <f t="shared" si="21"/>
        <v>205.625</v>
      </c>
      <c r="BK37" s="90">
        <f t="shared" si="22"/>
        <v>1044</v>
      </c>
      <c r="BL37" s="90">
        <f t="shared" si="23"/>
        <v>3.29</v>
      </c>
      <c r="BM37" s="90"/>
      <c r="BN37" s="90">
        <f t="shared" si="24"/>
        <v>0</v>
      </c>
      <c r="BO37" s="90">
        <f t="shared" si="25"/>
        <v>1044</v>
      </c>
      <c r="BP37" s="90">
        <f t="shared" si="26"/>
        <v>3.2912988650693569</v>
      </c>
      <c r="BQ37" s="90"/>
      <c r="BR37" s="90">
        <f t="shared" si="27"/>
        <v>0</v>
      </c>
      <c r="BS37" s="90">
        <f t="shared" si="28"/>
        <v>1044</v>
      </c>
      <c r="BT37" s="90">
        <f t="shared" si="29"/>
        <v>3.2912988650693569</v>
      </c>
      <c r="BU37" s="90"/>
      <c r="BV37" s="93">
        <v>1.4356370000000001</v>
      </c>
      <c r="BW37" s="90">
        <f t="shared" si="30"/>
        <v>455.38405640000002</v>
      </c>
      <c r="BX37" s="90">
        <f t="shared" si="31"/>
        <v>482.70709978400004</v>
      </c>
      <c r="BY37" s="90"/>
      <c r="BZ37" s="90"/>
      <c r="CA37" s="90">
        <v>0.2651</v>
      </c>
      <c r="CB37" s="90">
        <f>I37*CA37</f>
        <v>84.08972</v>
      </c>
      <c r="CC37" s="90">
        <v>0.71072749999999996</v>
      </c>
      <c r="CD37" s="90">
        <f t="shared" si="33"/>
        <v>59.764876471299999</v>
      </c>
      <c r="CE37" s="90">
        <f t="shared" si="34"/>
        <v>90.370561681421194</v>
      </c>
      <c r="CF37" s="90">
        <f>I37*0.278131672</f>
        <v>88.2233663584</v>
      </c>
      <c r="CG37" s="90">
        <f>I37*0.278131672</f>
        <v>88.2233663584</v>
      </c>
      <c r="CH37" s="90">
        <f t="shared" si="35"/>
        <v>92.46</v>
      </c>
      <c r="CI37" s="90">
        <f t="shared" si="524"/>
        <v>97.03539553512347</v>
      </c>
      <c r="CJ37" s="90">
        <f t="shared" si="36"/>
        <v>97.55</v>
      </c>
      <c r="CK37" s="90">
        <f t="shared" si="37"/>
        <v>103.16483265419846</v>
      </c>
      <c r="CL37" s="90">
        <f t="shared" si="38"/>
        <v>103.16483265419846</v>
      </c>
      <c r="CM37" s="94">
        <v>0.14899999999999999</v>
      </c>
      <c r="CN37" s="90">
        <f t="shared" si="39"/>
        <v>67.852224403600005</v>
      </c>
      <c r="CO37" s="90">
        <f t="shared" si="40"/>
        <v>71.923357867816009</v>
      </c>
      <c r="CP37" s="90"/>
      <c r="CQ37" s="90">
        <v>3.9538999999999998E-2</v>
      </c>
      <c r="CR37" s="90">
        <f>I37*CQ37</f>
        <v>12.541770799999998</v>
      </c>
      <c r="CS37" s="90">
        <v>0.71072749999999996</v>
      </c>
      <c r="CT37" s="90">
        <f t="shared" si="42"/>
        <v>8.913781406256998</v>
      </c>
      <c r="CU37" s="90">
        <f t="shared" si="43"/>
        <v>13.478542581371981</v>
      </c>
      <c r="CV37" s="90">
        <f>I37*0.085943035</f>
        <v>27.261130701999999</v>
      </c>
      <c r="CW37" s="90">
        <f t="shared" si="44"/>
        <v>28.57</v>
      </c>
      <c r="CX37" s="90">
        <f t="shared" si="525"/>
        <v>29.983790292434325</v>
      </c>
      <c r="CY37" s="90">
        <f t="shared" si="45"/>
        <v>30.14</v>
      </c>
      <c r="CZ37" s="90">
        <f t="shared" si="46"/>
        <v>31.87777708122918</v>
      </c>
      <c r="DA37" s="90">
        <f t="shared" si="47"/>
        <v>31.87777708122918</v>
      </c>
      <c r="DB37" s="93">
        <v>1.4169099999999999</v>
      </c>
      <c r="DC37" s="90">
        <f t="shared" si="48"/>
        <v>449.44385199999994</v>
      </c>
      <c r="DD37" s="90">
        <f t="shared" si="49"/>
        <v>476.41048311999998</v>
      </c>
      <c r="DE37" s="90"/>
      <c r="DF37" s="90"/>
      <c r="DG37" s="90">
        <v>0.16261541099999999</v>
      </c>
      <c r="DH37" s="90">
        <f>I37*DG37</f>
        <v>51.581608369199991</v>
      </c>
      <c r="DI37" s="90">
        <v>0.71072749999999996</v>
      </c>
      <c r="DJ37" s="90">
        <f t="shared" si="51"/>
        <v>36.660467562220582</v>
      </c>
      <c r="DK37" s="90">
        <f t="shared" si="52"/>
        <v>55.434349415787082</v>
      </c>
      <c r="DL37" s="90">
        <f>I37*0.138252275</f>
        <v>43.853621629999999</v>
      </c>
      <c r="DM37" s="90">
        <f t="shared" si="53"/>
        <v>45.96</v>
      </c>
      <c r="DN37" s="90">
        <f t="shared" si="526"/>
        <v>48.234336781248913</v>
      </c>
      <c r="DO37" s="90">
        <f t="shared" si="54"/>
        <v>48.49</v>
      </c>
      <c r="DP37" s="90">
        <f t="shared" si="55"/>
        <v>51.281156270678792</v>
      </c>
      <c r="DQ37" s="90">
        <f t="shared" si="56"/>
        <v>51.281156270678792</v>
      </c>
      <c r="DR37" s="93">
        <v>5.6880149999999997E-2</v>
      </c>
      <c r="DS37" s="90">
        <f t="shared" si="57"/>
        <v>18.042383579999999</v>
      </c>
      <c r="DT37" s="90">
        <f t="shared" si="58"/>
        <v>19.124926594800002</v>
      </c>
      <c r="DU37" s="90"/>
      <c r="DV37" s="90">
        <v>6.1506E-3</v>
      </c>
      <c r="DW37" s="90">
        <f>I37*DV37</f>
        <v>1.9509703199999999</v>
      </c>
      <c r="DX37" s="90">
        <v>0.71072749999999996</v>
      </c>
      <c r="DY37" s="90">
        <f t="shared" si="60"/>
        <v>1.3866082581077999</v>
      </c>
      <c r="DZ37" s="90">
        <f t="shared" si="61"/>
        <v>2.0966924808666509</v>
      </c>
      <c r="EA37" s="90">
        <f t="shared" si="62"/>
        <v>2.2000000000000002</v>
      </c>
      <c r="EB37" s="90">
        <f t="shared" si="527"/>
        <v>2.3088672958822372</v>
      </c>
      <c r="EC37" s="90">
        <f t="shared" si="63"/>
        <v>2.3199999999999998</v>
      </c>
      <c r="ED37" s="90">
        <f t="shared" si="64"/>
        <v>2.4547115708331888</v>
      </c>
      <c r="EE37" s="90">
        <f t="shared" si="65"/>
        <v>2.4547115708331888</v>
      </c>
      <c r="EF37" s="94">
        <v>0.85293354333000004</v>
      </c>
      <c r="EG37" s="90">
        <f t="shared" si="66"/>
        <v>216.4404159554208</v>
      </c>
      <c r="EH37" s="90">
        <f t="shared" si="67"/>
        <v>229.42684091274606</v>
      </c>
      <c r="EI37" s="90"/>
      <c r="EJ37" s="90">
        <v>0.58975</v>
      </c>
      <c r="EK37" s="90">
        <f t="shared" si="68"/>
        <v>149.65495999999999</v>
      </c>
      <c r="EL37" s="90">
        <v>0.71072749999999996</v>
      </c>
      <c r="EM37" s="90">
        <f t="shared" si="69"/>
        <v>106.36389558339998</v>
      </c>
      <c r="EN37" s="90">
        <f t="shared" si="70"/>
        <v>160.833010189719</v>
      </c>
      <c r="EO37" s="90">
        <f>J37*0.618109696</f>
        <v>156.85151645695998</v>
      </c>
      <c r="EP37" s="90">
        <f t="shared" si="71"/>
        <v>164.38</v>
      </c>
      <c r="EQ37" s="90">
        <f t="shared" si="528"/>
        <v>172.51436640778277</v>
      </c>
      <c r="ER37" s="90">
        <f t="shared" si="72"/>
        <v>173.42</v>
      </c>
      <c r="ES37" s="90">
        <f t="shared" si="73"/>
        <v>183.41158546070886</v>
      </c>
      <c r="ET37" s="90">
        <f t="shared" si="74"/>
        <v>183.41158546070886</v>
      </c>
      <c r="EU37" s="94">
        <v>0.14899999999999999</v>
      </c>
      <c r="EV37" s="90">
        <f t="shared" si="75"/>
        <v>32.249621977357698</v>
      </c>
      <c r="EW37" s="90">
        <f t="shared" si="76"/>
        <v>34.184599295999163</v>
      </c>
      <c r="EX37" s="90"/>
      <c r="EY37" s="90">
        <v>8.7870000000000004E-2</v>
      </c>
      <c r="EZ37" s="90">
        <f t="shared" si="77"/>
        <v>22.297891199999999</v>
      </c>
      <c r="FA37" s="90">
        <v>0.71072749999999996</v>
      </c>
      <c r="FB37" s="90">
        <f t="shared" si="78"/>
        <v>15.847724467847998</v>
      </c>
      <c r="FC37" s="90">
        <f t="shared" si="79"/>
        <v>23.963368555100658</v>
      </c>
      <c r="FD37" s="90">
        <f>J37*0.19112956</f>
        <v>48.501037145600002</v>
      </c>
      <c r="FE37" s="90">
        <f t="shared" si="80"/>
        <v>50.83</v>
      </c>
      <c r="FF37" s="90">
        <f t="shared" si="529"/>
        <v>53.345329386224591</v>
      </c>
      <c r="FG37" s="90">
        <f t="shared" si="81"/>
        <v>53.63</v>
      </c>
      <c r="FH37" s="90">
        <f t="shared" si="82"/>
        <v>56.714995066114078</v>
      </c>
      <c r="FI37" s="90">
        <f t="shared" si="83"/>
        <v>56.714995066114078</v>
      </c>
      <c r="FJ37" s="93">
        <v>0.49981642240000002</v>
      </c>
      <c r="FK37" s="90">
        <f t="shared" si="84"/>
        <v>126.83341534822399</v>
      </c>
      <c r="FL37" s="90">
        <f t="shared" si="85"/>
        <v>134.44342026911744</v>
      </c>
      <c r="FM37" s="90"/>
      <c r="FN37" s="90">
        <v>0.35812500000000003</v>
      </c>
      <c r="FO37" s="90">
        <f t="shared" si="86"/>
        <v>90.877800000000008</v>
      </c>
      <c r="FP37" s="90">
        <v>0.71072749999999996</v>
      </c>
      <c r="FQ37" s="90">
        <f t="shared" si="87"/>
        <v>64.589351599500006</v>
      </c>
      <c r="FR37" s="90">
        <f t="shared" si="88"/>
        <v>97.665657946915033</v>
      </c>
      <c r="FS37" s="90">
        <f>J37*0.303398167</f>
        <v>76.990318857920002</v>
      </c>
      <c r="FT37" s="90">
        <f t="shared" si="89"/>
        <v>80.69</v>
      </c>
      <c r="FU37" s="90">
        <f>J37*0.303652342</f>
        <v>77.054818305920008</v>
      </c>
      <c r="FV37" s="90">
        <f t="shared" si="90"/>
        <v>80.75</v>
      </c>
      <c r="FW37" s="90">
        <f t="shared" si="530"/>
        <v>84.745924610223014</v>
      </c>
      <c r="FX37" s="90">
        <f t="shared" si="91"/>
        <v>85.19</v>
      </c>
      <c r="FY37" s="90">
        <f t="shared" si="92"/>
        <v>90.099072429445442</v>
      </c>
      <c r="FZ37" s="90">
        <f t="shared" si="93"/>
        <v>90.099072429445442</v>
      </c>
      <c r="GA37" s="94">
        <v>1.352261642E-2</v>
      </c>
      <c r="GB37" s="90">
        <f t="shared" si="94"/>
        <v>3.4314991427391996</v>
      </c>
      <c r="GC37" s="90">
        <f t="shared" si="95"/>
        <v>3.6373890913035516</v>
      </c>
      <c r="GD37" s="90"/>
      <c r="GE37" s="90">
        <v>1.0749999999999999E-2</v>
      </c>
      <c r="GF37" s="90">
        <f t="shared" si="96"/>
        <v>2.7279199999999997</v>
      </c>
      <c r="GG37" s="90">
        <v>0.71072749999999996</v>
      </c>
      <c r="GH37" s="90">
        <f t="shared" si="97"/>
        <v>1.9388077617999997</v>
      </c>
      <c r="GI37" s="90">
        <f t="shared" si="98"/>
        <v>2.9316742001517246</v>
      </c>
      <c r="GJ37" s="90">
        <f t="shared" si="99"/>
        <v>3.07</v>
      </c>
      <c r="GK37" s="90">
        <f t="shared" si="531"/>
        <v>3.2219193628902127</v>
      </c>
      <c r="GL37" s="90">
        <f t="shared" si="100"/>
        <v>3.24</v>
      </c>
      <c r="GM37" s="90">
        <f t="shared" si="101"/>
        <v>3.4254384192990401</v>
      </c>
      <c r="GN37" s="90">
        <f t="shared" si="102"/>
        <v>3.4254384192990401</v>
      </c>
      <c r="GO37" s="90">
        <v>1612.8</v>
      </c>
      <c r="GP37" s="90">
        <f t="shared" si="103"/>
        <v>134.4</v>
      </c>
      <c r="GQ37" s="90">
        <f>1058.4+69.3</f>
        <v>1127.7</v>
      </c>
      <c r="GR37" s="90">
        <f t="shared" si="104"/>
        <v>93.975000000000009</v>
      </c>
      <c r="GS37" s="90">
        <f t="shared" si="105"/>
        <v>228.375</v>
      </c>
      <c r="GT37" s="90">
        <f t="shared" si="106"/>
        <v>0.72</v>
      </c>
      <c r="GU37" s="90">
        <v>1842.24</v>
      </c>
      <c r="GV37" s="90">
        <f>1003.2+66.12</f>
        <v>1069.3200000000002</v>
      </c>
      <c r="GW37" s="90">
        <f t="shared" si="107"/>
        <v>242.63000000000002</v>
      </c>
      <c r="GX37" s="90">
        <f t="shared" si="108"/>
        <v>0.76</v>
      </c>
      <c r="GY37" s="90">
        <v>3292.32</v>
      </c>
      <c r="GZ37" s="90">
        <f>1067.04+70.68</f>
        <v>1137.72</v>
      </c>
      <c r="HA37" s="90">
        <f t="shared" si="109"/>
        <v>369.17</v>
      </c>
      <c r="HB37" s="90">
        <f t="shared" si="110"/>
        <v>1.1599999999999999</v>
      </c>
      <c r="HC37" s="90">
        <v>3292.32</v>
      </c>
      <c r="HD37" s="90">
        <f>1067.04+70.68</f>
        <v>1137.72</v>
      </c>
      <c r="HE37" s="90">
        <f t="shared" si="111"/>
        <v>369.17</v>
      </c>
      <c r="HF37" s="90">
        <f t="shared" si="112"/>
        <v>1.1599999999999999</v>
      </c>
      <c r="HG37" s="90"/>
      <c r="HH37" s="90"/>
      <c r="HI37" s="90">
        <v>0.96</v>
      </c>
      <c r="HJ37" s="90">
        <f t="shared" si="113"/>
        <v>304.512</v>
      </c>
      <c r="HK37" s="90">
        <f t="shared" si="114"/>
        <v>1.0060844892812106</v>
      </c>
      <c r="HL37" s="90">
        <f t="shared" si="115"/>
        <v>319.13</v>
      </c>
      <c r="HM37" s="90">
        <v>1.07</v>
      </c>
      <c r="HN37" s="90">
        <f t="shared" si="116"/>
        <v>339.404</v>
      </c>
      <c r="HO37" s="90">
        <v>1.1499999999999999</v>
      </c>
      <c r="HP37" s="90">
        <f t="shared" si="117"/>
        <v>364.78</v>
      </c>
      <c r="HQ37" s="90">
        <v>1.1499999999999999</v>
      </c>
      <c r="HR37" s="90">
        <f t="shared" si="118"/>
        <v>364.78</v>
      </c>
      <c r="HS37" s="90">
        <v>0.31919999999999998</v>
      </c>
      <c r="HT37" s="90">
        <f t="shared" si="119"/>
        <v>101.25023999999999</v>
      </c>
      <c r="HU37" s="90" t="e">
        <f>HT37*#REF!</f>
        <v>#REF!</v>
      </c>
      <c r="HV37" s="90">
        <v>2.83</v>
      </c>
      <c r="HW37" s="90">
        <v>3.1</v>
      </c>
      <c r="HX37" s="90">
        <f t="shared" si="120"/>
        <v>983.31999999999994</v>
      </c>
      <c r="HY37" s="90">
        <v>1.06</v>
      </c>
      <c r="HZ37" s="90">
        <f t="shared" si="121"/>
        <v>1042.3191999999999</v>
      </c>
      <c r="IA37" s="90">
        <f t="shared" si="122"/>
        <v>3.29</v>
      </c>
      <c r="IB37" s="90">
        <f t="shared" si="123"/>
        <v>3.45</v>
      </c>
      <c r="IC37" s="90">
        <f t="shared" si="124"/>
        <v>1094.3399999999999</v>
      </c>
      <c r="ID37" s="90">
        <f t="shared" si="125"/>
        <v>3.64</v>
      </c>
      <c r="IE37" s="90">
        <f t="shared" si="126"/>
        <v>1154.6099999999999</v>
      </c>
      <c r="IF37" s="90">
        <f t="shared" si="127"/>
        <v>3.64</v>
      </c>
      <c r="IG37" s="92">
        <f t="shared" si="128"/>
        <v>13855.32</v>
      </c>
      <c r="IH37" s="90">
        <v>3.91</v>
      </c>
      <c r="II37" s="90">
        <f t="shared" si="129"/>
        <v>4.1100000000000003</v>
      </c>
      <c r="IJ37" s="90">
        <f t="shared" si="130"/>
        <v>1303.69</v>
      </c>
      <c r="IK37" s="90">
        <f t="shared" si="131"/>
        <v>4.1100000000000003</v>
      </c>
      <c r="IL37" s="90">
        <f t="shared" si="132"/>
        <v>1303.69</v>
      </c>
      <c r="IM37" s="90">
        <f t="shared" si="133"/>
        <v>4.1100000000000003</v>
      </c>
      <c r="IN37" s="90">
        <f t="shared" si="134"/>
        <v>1303.69</v>
      </c>
      <c r="IO37" s="90">
        <f t="shared" si="135"/>
        <v>4.1100000000000003</v>
      </c>
      <c r="IP37" s="93">
        <v>0.37052404126999999</v>
      </c>
      <c r="IQ37" s="90">
        <f t="shared" si="136"/>
        <v>94.024180712675189</v>
      </c>
      <c r="IR37" s="90">
        <f t="shared" si="137"/>
        <v>99.665631555435709</v>
      </c>
      <c r="IS37" s="90">
        <v>108693.96</v>
      </c>
      <c r="IT37" s="90">
        <v>3053.33</v>
      </c>
      <c r="IU37" s="94"/>
      <c r="IV37" s="94"/>
      <c r="IW37" s="94">
        <v>1.6976249999999999</v>
      </c>
      <c r="IX37" s="90">
        <f t="shared" si="138"/>
        <v>430.78931999999998</v>
      </c>
      <c r="IY37" s="93">
        <v>0.56339614052999998</v>
      </c>
      <c r="IZ37" s="90">
        <f t="shared" si="139"/>
        <v>178.70925577611598</v>
      </c>
      <c r="JA37" s="90">
        <f t="shared" si="140"/>
        <v>187.29</v>
      </c>
      <c r="JB37" s="90">
        <f t="shared" si="532"/>
        <v>196.55807083899279</v>
      </c>
      <c r="JC37" s="90">
        <f t="shared" si="141"/>
        <v>197.59</v>
      </c>
      <c r="JD37" s="90">
        <f t="shared" si="142"/>
        <v>208.97405913697628</v>
      </c>
      <c r="JE37" s="90">
        <f t="shared" si="143"/>
        <v>208.97405913697628</v>
      </c>
      <c r="JF37" s="93">
        <v>4.2278943710000003E-2</v>
      </c>
      <c r="JG37" s="90">
        <f t="shared" si="144"/>
        <v>10.7287047558496</v>
      </c>
      <c r="JH37" s="90">
        <f t="shared" si="145"/>
        <v>11.372427041200577</v>
      </c>
      <c r="JI37" s="20">
        <v>462.98</v>
      </c>
      <c r="JJ37" s="20"/>
      <c r="JK37" s="20">
        <v>6.0624999999999998E-2</v>
      </c>
      <c r="JL37" s="90">
        <f t="shared" si="146"/>
        <v>15.3842</v>
      </c>
      <c r="JM37" s="93">
        <v>6.7347080040000007E-2</v>
      </c>
      <c r="JN37" s="90">
        <f t="shared" si="147"/>
        <v>21.362493788688003</v>
      </c>
      <c r="JO37" s="90">
        <f t="shared" si="148"/>
        <v>22.39</v>
      </c>
      <c r="JP37" s="90">
        <f t="shared" si="533"/>
        <v>23.497972161274223</v>
      </c>
      <c r="JQ37" s="90">
        <f t="shared" si="149"/>
        <v>23.62</v>
      </c>
      <c r="JR37" s="90">
        <f t="shared" si="150"/>
        <v>24.982269123161405</v>
      </c>
      <c r="JS37" s="90">
        <f t="shared" si="151"/>
        <v>24.982269123161405</v>
      </c>
      <c r="JT37" s="93">
        <v>7.3220517000000002E-3</v>
      </c>
      <c r="JU37" s="90">
        <f t="shared" si="152"/>
        <v>1.858043839392</v>
      </c>
      <c r="JV37" s="90">
        <f t="shared" si="153"/>
        <v>1.95</v>
      </c>
      <c r="JW37" s="90">
        <f t="shared" si="534"/>
        <v>2.0464960122592557</v>
      </c>
      <c r="JX37" s="90">
        <f t="shared" si="154"/>
        <v>2.06</v>
      </c>
      <c r="JY37" s="90">
        <f t="shared" si="155"/>
        <v>2.1757670741475987</v>
      </c>
      <c r="JZ37" s="90">
        <f t="shared" si="156"/>
        <v>2.1757670741475987</v>
      </c>
      <c r="KA37" s="90">
        <v>8.3090999999999998E-3</v>
      </c>
      <c r="KB37" s="90">
        <f t="shared" si="157"/>
        <v>2.1085172160000001</v>
      </c>
      <c r="KC37" s="90" t="e">
        <f>KB37*#REF!</f>
        <v>#REF!</v>
      </c>
      <c r="KD37" s="90">
        <v>34406.519999999997</v>
      </c>
      <c r="KE37" s="90">
        <v>40292.97</v>
      </c>
      <c r="KF37" s="90"/>
      <c r="KG37" s="90">
        <f t="shared" si="546"/>
        <v>371.46825903927515</v>
      </c>
      <c r="KH37" s="90" t="e">
        <f>KG37/(BW37+#REF!)*(CB37+#REF!)</f>
        <v>#REF!</v>
      </c>
      <c r="KI37" s="90">
        <v>0.8</v>
      </c>
      <c r="KJ37" s="94"/>
      <c r="KK37" s="90">
        <f t="shared" si="159"/>
        <v>0</v>
      </c>
      <c r="KL37" s="93">
        <v>1.2690177</v>
      </c>
      <c r="KM37" s="90">
        <f t="shared" si="160"/>
        <v>402.53241443999997</v>
      </c>
      <c r="KN37" s="90">
        <f t="shared" si="161"/>
        <v>426.68435930639998</v>
      </c>
      <c r="KO37" s="90" t="e">
        <f>BW37+CN37+DC37+DS37+EG37+EV37+FK37+GB37+#REF!+#REF!+HJ37+HX37+IQ37+JG37+JU37+KK37+KM37</f>
        <v>#REF!</v>
      </c>
      <c r="KP37" s="90"/>
      <c r="KQ37" s="90">
        <v>0.50815001599999998</v>
      </c>
      <c r="KR37" s="90">
        <f t="shared" si="514"/>
        <v>161.1851850752</v>
      </c>
      <c r="KS37" s="90">
        <v>0.71072749999999996</v>
      </c>
      <c r="KT37" s="90">
        <f t="shared" si="163"/>
        <v>114.55874362553419</v>
      </c>
      <c r="KU37" s="90">
        <f t="shared" si="164"/>
        <v>173.22445252487046</v>
      </c>
      <c r="KV37" s="90">
        <f t="shared" si="165"/>
        <v>181.54</v>
      </c>
      <c r="KW37" s="90">
        <f t="shared" si="535"/>
        <v>190.52353131566423</v>
      </c>
      <c r="KX37" s="90">
        <f t="shared" si="166"/>
        <v>191.52</v>
      </c>
      <c r="KY37" s="90">
        <f t="shared" si="167"/>
        <v>202.55833571320775</v>
      </c>
      <c r="KZ37" s="90">
        <f t="shared" si="168"/>
        <v>202.55833571320775</v>
      </c>
      <c r="LA37" s="90">
        <f t="shared" si="169"/>
        <v>1243.42</v>
      </c>
      <c r="LB37" s="90">
        <f t="shared" si="170"/>
        <v>3.92</v>
      </c>
      <c r="LC37" s="92">
        <f t="shared" si="171"/>
        <v>14921.04</v>
      </c>
      <c r="LD37" s="92">
        <v>4.21</v>
      </c>
      <c r="LE37" s="92">
        <v>1335.41</v>
      </c>
      <c r="LF37" s="90">
        <f t="shared" si="172"/>
        <v>4.18</v>
      </c>
      <c r="LG37" s="90">
        <f t="shared" si="173"/>
        <v>1325.9</v>
      </c>
      <c r="LH37" s="90">
        <f t="shared" si="174"/>
        <v>1336.6765</v>
      </c>
      <c r="LI37" s="90">
        <f t="shared" si="175"/>
        <v>4.21</v>
      </c>
      <c r="LJ37" s="90">
        <f t="shared" si="176"/>
        <v>1325.8999999999999</v>
      </c>
      <c r="LK37" s="90">
        <f t="shared" si="177"/>
        <v>4.18</v>
      </c>
      <c r="LL37" s="90">
        <f t="shared" si="178"/>
        <v>1325.8999999999999</v>
      </c>
      <c r="LM37" s="90">
        <f t="shared" si="179"/>
        <v>4.18</v>
      </c>
      <c r="LN37" s="95">
        <v>0.46</v>
      </c>
      <c r="LO37" s="95">
        <f t="shared" si="180"/>
        <v>145.91</v>
      </c>
      <c r="LP37" s="95"/>
      <c r="LQ37" s="95">
        <f t="shared" si="181"/>
        <v>0</v>
      </c>
      <c r="LR37" s="90"/>
      <c r="LS37" s="90"/>
      <c r="LT37" s="90">
        <f t="shared" si="182"/>
        <v>0</v>
      </c>
      <c r="LU37" s="90"/>
      <c r="LV37" s="90">
        <f t="shared" si="183"/>
        <v>0</v>
      </c>
      <c r="LW37" s="90">
        <f t="shared" si="184"/>
        <v>0</v>
      </c>
      <c r="LX37" s="90"/>
      <c r="LY37" s="90"/>
      <c r="LZ37" s="90">
        <f t="shared" si="185"/>
        <v>0</v>
      </c>
      <c r="MA37" s="90"/>
      <c r="MB37" s="90">
        <f t="shared" si="186"/>
        <v>0</v>
      </c>
      <c r="MC37" s="90">
        <f t="shared" si="187"/>
        <v>0</v>
      </c>
      <c r="MD37" s="90"/>
      <c r="ME37" s="90"/>
      <c r="MF37" s="90">
        <f t="shared" si="188"/>
        <v>0</v>
      </c>
      <c r="MG37" s="90"/>
      <c r="MH37" s="90">
        <f t="shared" si="189"/>
        <v>0</v>
      </c>
      <c r="MI37" s="90">
        <f t="shared" si="190"/>
        <v>0</v>
      </c>
      <c r="MJ37" s="90"/>
      <c r="MK37" s="90"/>
      <c r="ML37" s="90">
        <f t="shared" si="191"/>
        <v>0</v>
      </c>
      <c r="MM37" s="90"/>
      <c r="MN37" s="90">
        <f t="shared" si="192"/>
        <v>0</v>
      </c>
      <c r="MO37" s="90">
        <f t="shared" si="193"/>
        <v>0</v>
      </c>
      <c r="MP37" s="90">
        <f t="shared" si="194"/>
        <v>0</v>
      </c>
      <c r="MQ37" s="90">
        <f t="shared" si="195"/>
        <v>0</v>
      </c>
      <c r="MR37" s="90">
        <f t="shared" si="196"/>
        <v>0</v>
      </c>
      <c r="MS37" s="90">
        <f t="shared" si="197"/>
        <v>0</v>
      </c>
      <c r="MT37" s="95"/>
      <c r="MU37" s="95">
        <f t="shared" si="198"/>
        <v>0</v>
      </c>
      <c r="MV37" s="92">
        <f t="shared" si="199"/>
        <v>0</v>
      </c>
      <c r="MW37" s="95"/>
      <c r="MX37" s="95">
        <f t="shared" si="200"/>
        <v>0</v>
      </c>
      <c r="MY37" s="95"/>
      <c r="MZ37" s="95">
        <f t="shared" si="201"/>
        <v>0</v>
      </c>
      <c r="NA37" s="95"/>
      <c r="NB37" s="95">
        <f t="shared" si="202"/>
        <v>0</v>
      </c>
      <c r="NC37" s="92">
        <f t="shared" si="203"/>
        <v>0</v>
      </c>
      <c r="ND37" s="95"/>
      <c r="NE37" s="95">
        <f t="shared" si="204"/>
        <v>0</v>
      </c>
      <c r="NF37" s="95"/>
      <c r="NG37" s="95">
        <f t="shared" si="205"/>
        <v>0</v>
      </c>
      <c r="NH37" s="95"/>
      <c r="NI37" s="95"/>
      <c r="NJ37" s="95">
        <f t="shared" si="206"/>
        <v>0</v>
      </c>
      <c r="NK37" s="92">
        <f t="shared" si="207"/>
        <v>0</v>
      </c>
      <c r="NL37" s="95"/>
      <c r="NM37" s="95">
        <f t="shared" si="208"/>
        <v>0</v>
      </c>
      <c r="NN37" s="95"/>
      <c r="NO37" s="95">
        <f t="shared" si="209"/>
        <v>0</v>
      </c>
      <c r="NP37" s="95"/>
      <c r="NQ37" s="95">
        <f t="shared" si="210"/>
        <v>0</v>
      </c>
      <c r="NR37" s="92">
        <f t="shared" si="211"/>
        <v>0</v>
      </c>
      <c r="NS37" s="95"/>
      <c r="NT37" s="95">
        <f t="shared" si="212"/>
        <v>0</v>
      </c>
      <c r="NU37" s="95"/>
      <c r="NV37" s="95">
        <f t="shared" si="213"/>
        <v>0</v>
      </c>
      <c r="NW37" s="95"/>
      <c r="NX37" s="95">
        <f t="shared" si="214"/>
        <v>0</v>
      </c>
      <c r="NY37" s="92">
        <f t="shared" si="215"/>
        <v>0</v>
      </c>
      <c r="NZ37" s="95"/>
      <c r="OA37" s="95">
        <f t="shared" si="216"/>
        <v>0</v>
      </c>
      <c r="OB37" s="95"/>
      <c r="OC37" s="95">
        <f t="shared" si="217"/>
        <v>0</v>
      </c>
      <c r="OD37" s="90">
        <v>1922.23</v>
      </c>
      <c r="OE37" s="90">
        <f t="shared" si="218"/>
        <v>6.06</v>
      </c>
      <c r="OF37" s="92">
        <f t="shared" si="219"/>
        <v>23066.760000000002</v>
      </c>
      <c r="OG37" s="96">
        <v>506.18</v>
      </c>
      <c r="OH37" s="96">
        <v>1.6</v>
      </c>
      <c r="OI37" s="90">
        <v>2429.75</v>
      </c>
      <c r="OJ37" s="90">
        <f t="shared" si="220"/>
        <v>7.66</v>
      </c>
      <c r="OK37" s="90">
        <f t="shared" si="221"/>
        <v>2428.41</v>
      </c>
      <c r="OL37" s="90">
        <f t="shared" si="222"/>
        <v>7.66</v>
      </c>
      <c r="OM37" s="90">
        <f t="shared" si="223"/>
        <v>0</v>
      </c>
      <c r="ON37" s="90">
        <v>1922.23</v>
      </c>
      <c r="OO37" s="90">
        <f t="shared" si="224"/>
        <v>6.06</v>
      </c>
      <c r="OP37" s="90">
        <v>1923.57</v>
      </c>
      <c r="OQ37" s="90">
        <v>6.06</v>
      </c>
      <c r="OR37" s="90">
        <f t="shared" si="225"/>
        <v>0</v>
      </c>
      <c r="OS37" s="90">
        <f t="shared" si="226"/>
        <v>6.0600000000000005</v>
      </c>
      <c r="OT37" s="90">
        <v>1922.23</v>
      </c>
      <c r="OU37" s="90">
        <f t="shared" si="227"/>
        <v>6.06</v>
      </c>
      <c r="OV37" s="97">
        <v>1605.03</v>
      </c>
      <c r="OW37" s="90">
        <f t="shared" si="228"/>
        <v>1605.03</v>
      </c>
      <c r="OX37" s="90">
        <f t="shared" si="229"/>
        <v>5.0599999999999996</v>
      </c>
      <c r="OY37" s="90">
        <f t="shared" si="547"/>
        <v>5.0599999999999996</v>
      </c>
      <c r="OZ37" s="90"/>
      <c r="PA37" s="90"/>
      <c r="PB37" s="95">
        <f t="shared" si="230"/>
        <v>0</v>
      </c>
      <c r="PC37" s="92">
        <f t="shared" si="231"/>
        <v>0</v>
      </c>
      <c r="PD37" s="90"/>
      <c r="PE37" s="95">
        <f t="shared" si="232"/>
        <v>0</v>
      </c>
      <c r="PF37" s="90">
        <f t="shared" si="233"/>
        <v>5054.8150000000005</v>
      </c>
      <c r="PG37" s="90">
        <f t="shared" si="234"/>
        <v>15.94</v>
      </c>
      <c r="PH37" s="90">
        <f t="shared" si="235"/>
        <v>5793.7</v>
      </c>
      <c r="PI37" s="90">
        <f t="shared" si="236"/>
        <v>18.27</v>
      </c>
      <c r="PJ37" s="90">
        <f t="shared" si="237"/>
        <v>5793.7</v>
      </c>
      <c r="PK37" s="90">
        <f t="shared" si="238"/>
        <v>18.27</v>
      </c>
      <c r="PL37" s="90"/>
      <c r="PM37" s="90">
        <f t="shared" si="239"/>
        <v>151.63999999999999</v>
      </c>
      <c r="PN37" s="90">
        <f t="shared" si="240"/>
        <v>0.48</v>
      </c>
      <c r="PO37" s="92">
        <f t="shared" si="241"/>
        <v>1819.6799999999998</v>
      </c>
      <c r="PP37" s="90">
        <f t="shared" si="242"/>
        <v>173.81</v>
      </c>
      <c r="PQ37" s="90">
        <f t="shared" si="243"/>
        <v>0.55000000000000004</v>
      </c>
      <c r="PR37" s="90">
        <f t="shared" si="244"/>
        <v>173.81</v>
      </c>
      <c r="PS37" s="90">
        <f t="shared" si="245"/>
        <v>0.55000000000000004</v>
      </c>
      <c r="PT37" s="90">
        <f t="shared" si="246"/>
        <v>5206.4550000000008</v>
      </c>
      <c r="PU37" s="90">
        <f t="shared" si="247"/>
        <v>16.41</v>
      </c>
      <c r="PV37" s="90">
        <f t="shared" si="248"/>
        <v>5967.51</v>
      </c>
      <c r="PW37" s="90">
        <f t="shared" si="249"/>
        <v>18.809999999999999</v>
      </c>
      <c r="PX37" s="90">
        <f t="shared" si="250"/>
        <v>5967.51</v>
      </c>
      <c r="PY37" s="90">
        <f t="shared" si="251"/>
        <v>18.809999999999999</v>
      </c>
      <c r="PZ37" s="90">
        <f t="shared" si="252"/>
        <v>52.59</v>
      </c>
      <c r="QA37" s="90">
        <f t="shared" si="253"/>
        <v>0.17</v>
      </c>
      <c r="QB37" s="92">
        <f t="shared" si="254"/>
        <v>631.08000000000004</v>
      </c>
      <c r="QC37" s="90">
        <f t="shared" si="255"/>
        <v>60.28</v>
      </c>
      <c r="QD37" s="90">
        <f t="shared" si="256"/>
        <v>0.19</v>
      </c>
      <c r="QE37" s="90">
        <f t="shared" si="257"/>
        <v>60.28</v>
      </c>
      <c r="QF37" s="90">
        <f t="shared" si="258"/>
        <v>0.19</v>
      </c>
      <c r="QG37" s="90">
        <f t="shared" si="259"/>
        <v>5259.045000000001</v>
      </c>
      <c r="QH37" s="90">
        <f t="shared" si="260"/>
        <v>16.579999999999998</v>
      </c>
      <c r="QI37" s="92">
        <f t="shared" si="261"/>
        <v>63108.540000000008</v>
      </c>
      <c r="QJ37" s="90">
        <f t="shared" si="262"/>
        <v>207.10353131566421</v>
      </c>
      <c r="QK37" s="98">
        <f t="shared" si="263"/>
        <v>0.21869999999999998</v>
      </c>
      <c r="QL37" s="90">
        <f t="shared" si="264"/>
        <v>69.371639999999985</v>
      </c>
      <c r="QM37" s="90">
        <f t="shared" si="265"/>
        <v>0.14579999999999999</v>
      </c>
      <c r="QN37" s="90">
        <f t="shared" si="266"/>
        <v>46.247759999999992</v>
      </c>
      <c r="QO37" s="90">
        <v>0.21869999999999998</v>
      </c>
      <c r="QP37" s="90">
        <v>0.14579999999999999</v>
      </c>
      <c r="QQ37" s="97">
        <f t="shared" si="267"/>
        <v>115.61939999999998</v>
      </c>
      <c r="QR37" s="97">
        <v>115.61939999999998</v>
      </c>
      <c r="QS37" s="97">
        <f t="shared" si="268"/>
        <v>0</v>
      </c>
      <c r="QT37" s="90"/>
      <c r="QU37" s="90">
        <f t="shared" si="269"/>
        <v>0.14579999999999999</v>
      </c>
      <c r="QV37" s="90">
        <f t="shared" si="270"/>
        <v>46.247759999999992</v>
      </c>
      <c r="QW37" s="90">
        <f t="shared" si="271"/>
        <v>115.61939999999998</v>
      </c>
      <c r="QX37" s="90">
        <f t="shared" si="272"/>
        <v>0.36449999999999999</v>
      </c>
      <c r="QY37" s="90"/>
      <c r="QZ37" s="90"/>
      <c r="RA37" s="90"/>
      <c r="RB37" s="90">
        <v>1180.52</v>
      </c>
      <c r="RC37" s="97">
        <f t="shared" si="273"/>
        <v>5259.045000000001</v>
      </c>
      <c r="RD37" s="97">
        <f t="shared" si="274"/>
        <v>16.579999999999998</v>
      </c>
      <c r="RE37" s="90">
        <f t="shared" si="275"/>
        <v>6027.79</v>
      </c>
      <c r="RF37" s="90">
        <f t="shared" si="276"/>
        <v>19</v>
      </c>
      <c r="RG37" s="90">
        <f t="shared" si="277"/>
        <v>114.52682338758289</v>
      </c>
      <c r="RH37" s="90">
        <f t="shared" si="278"/>
        <v>6027.79</v>
      </c>
      <c r="RI37" s="90">
        <f t="shared" si="279"/>
        <v>19</v>
      </c>
      <c r="RJ37" s="90">
        <v>18.64</v>
      </c>
      <c r="RK37" s="90">
        <v>0</v>
      </c>
      <c r="RL37" s="90">
        <f t="shared" si="280"/>
        <v>0.35999999999999943</v>
      </c>
      <c r="RM37" s="90">
        <f t="shared" si="281"/>
        <v>106.02678571428569</v>
      </c>
      <c r="RN37" s="90">
        <f t="shared" si="282"/>
        <v>3213.875</v>
      </c>
      <c r="RO37" s="90"/>
      <c r="RP37" s="90"/>
      <c r="RQ37" s="99">
        <v>577</v>
      </c>
      <c r="RR37" s="90">
        <f t="shared" si="283"/>
        <v>3336.8150000000001</v>
      </c>
      <c r="RS37" s="90">
        <f t="shared" si="284"/>
        <v>10.519593316519547</v>
      </c>
      <c r="RT37" s="90">
        <f t="shared" si="549"/>
        <v>14.579999999999998</v>
      </c>
      <c r="RU37" s="90">
        <f t="shared" si="285"/>
        <v>4624.7759999999989</v>
      </c>
      <c r="RV37" s="90">
        <f t="shared" si="286"/>
        <v>0.65291151108343071</v>
      </c>
      <c r="RW37" s="90">
        <v>10.43</v>
      </c>
      <c r="RX37" s="90">
        <f t="shared" si="287"/>
        <v>10.951499999999999</v>
      </c>
      <c r="RY37" s="90">
        <f t="shared" si="288"/>
        <v>3473.8157999999999</v>
      </c>
      <c r="RZ37" s="90">
        <f t="shared" si="289"/>
        <v>916.46605014016359</v>
      </c>
      <c r="SA37" s="90">
        <f t="shared" si="290"/>
        <v>410.02425673596764</v>
      </c>
      <c r="SB37" s="90">
        <f t="shared" si="291"/>
        <v>619.99830957620395</v>
      </c>
      <c r="SC37" s="90">
        <f t="shared" si="292"/>
        <v>1126.4401029803998</v>
      </c>
      <c r="SD37" s="90">
        <f t="shared" si="293"/>
        <v>1126.4401029803998</v>
      </c>
      <c r="SE37" s="90">
        <f t="shared" si="294"/>
        <v>1143.4079789684847</v>
      </c>
      <c r="SF37" s="90">
        <f t="shared" si="295"/>
        <v>1126.3756037609646</v>
      </c>
      <c r="SG37" s="90">
        <f t="shared" si="296"/>
        <v>6.4499219435219857E-2</v>
      </c>
      <c r="SH37" s="90">
        <f t="shared" si="297"/>
        <v>1126.440103208965</v>
      </c>
      <c r="SI37" s="90">
        <f t="shared" si="298"/>
        <v>3.5511983069999995</v>
      </c>
      <c r="SJ37" s="90">
        <f t="shared" si="299"/>
        <v>3.5509949677205697</v>
      </c>
      <c r="SK37" s="90"/>
      <c r="SL37" s="90"/>
      <c r="SM37" s="90"/>
      <c r="SN37" s="90">
        <f t="shared" si="300"/>
        <v>1205.9899999999998</v>
      </c>
      <c r="SO37" s="90" t="e">
        <f>RU37-#REF!-#REF!-HZ37-LT37-LZ37-MF37-ML37-QL37-QN37-SD37</f>
        <v>#REF!</v>
      </c>
      <c r="SP37" s="90">
        <f t="shared" si="301"/>
        <v>1180.52</v>
      </c>
      <c r="SQ37" s="90">
        <f t="shared" si="302"/>
        <v>1243.42</v>
      </c>
      <c r="SR37" s="90">
        <f t="shared" si="303"/>
        <v>3.7216897856242119</v>
      </c>
      <c r="SS37" s="90">
        <f t="shared" si="304"/>
        <v>3.919987389659521</v>
      </c>
      <c r="ST37" s="90">
        <f t="shared" si="305"/>
        <v>1248.1739999999998</v>
      </c>
      <c r="SU37" s="90">
        <v>3.7216897856242119</v>
      </c>
      <c r="SV37" s="90">
        <f t="shared" si="306"/>
        <v>3.93</v>
      </c>
      <c r="SW37" s="90">
        <v>3.92</v>
      </c>
      <c r="SX37" s="90">
        <f t="shared" si="307"/>
        <v>1243.42</v>
      </c>
      <c r="SY37" s="90">
        <v>3.7216897856242119</v>
      </c>
      <c r="SZ37" s="90">
        <f t="shared" si="308"/>
        <v>1180.52</v>
      </c>
      <c r="TA37" s="90">
        <f t="shared" si="309"/>
        <v>0</v>
      </c>
      <c r="TB37" s="90">
        <v>0</v>
      </c>
      <c r="TC37" s="90">
        <f t="shared" si="310"/>
        <v>1634.141599999999</v>
      </c>
      <c r="TD37" s="90" t="e">
        <f>#REF!+#REF!</f>
        <v>#REF!</v>
      </c>
      <c r="TE37" s="90" t="e">
        <f t="shared" si="311"/>
        <v>#REF!</v>
      </c>
      <c r="TF37" s="90">
        <v>1711.6865999999991</v>
      </c>
      <c r="TG37" s="90">
        <f t="shared" si="312"/>
        <v>35.334502687265271</v>
      </c>
      <c r="TH37" s="95"/>
      <c r="TI37" s="95"/>
      <c r="TJ37" s="95"/>
      <c r="TK37" s="95"/>
      <c r="TL37" s="95"/>
      <c r="TM37" s="95">
        <f t="shared" si="313"/>
        <v>0</v>
      </c>
      <c r="TN37" s="95">
        <f t="shared" si="314"/>
        <v>4624.7759999999989</v>
      </c>
      <c r="TO37" s="95">
        <f t="shared" si="315"/>
        <v>35.334502687265271</v>
      </c>
      <c r="TP37" s="95"/>
      <c r="TQ37" s="95">
        <f t="shared" si="316"/>
        <v>14.579999999999998</v>
      </c>
      <c r="TR37" s="95"/>
      <c r="TS37" s="95"/>
      <c r="TT37" s="95"/>
      <c r="TU37" s="95"/>
      <c r="TV37" s="95"/>
      <c r="TW37" s="95"/>
      <c r="TX37" s="95"/>
      <c r="TY37" s="95"/>
      <c r="TZ37" s="95">
        <f t="shared" si="317"/>
        <v>2.5</v>
      </c>
      <c r="UA37" s="95">
        <f t="shared" si="318"/>
        <v>0.64151999999999998</v>
      </c>
      <c r="UB37" s="90">
        <v>0</v>
      </c>
      <c r="UC37" s="90">
        <f t="shared" si="319"/>
        <v>0</v>
      </c>
      <c r="UD37" s="90">
        <f t="shared" si="320"/>
        <v>0</v>
      </c>
      <c r="UE37" s="90">
        <f t="shared" si="321"/>
        <v>0</v>
      </c>
      <c r="UF37" s="90">
        <f t="shared" si="322"/>
        <v>4624.7759999999989</v>
      </c>
      <c r="UG37" s="91">
        <f t="shared" si="323"/>
        <v>0</v>
      </c>
      <c r="UH37" s="95">
        <f t="shared" si="324"/>
        <v>35.334502687265271</v>
      </c>
      <c r="UI37" s="95">
        <f t="shared" si="325"/>
        <v>4624.7759999999989</v>
      </c>
      <c r="UJ37" s="101">
        <f t="shared" si="326"/>
        <v>0</v>
      </c>
      <c r="UK37" s="101">
        <f t="shared" si="327"/>
        <v>35.334502687265271</v>
      </c>
      <c r="UL37" s="90" t="e">
        <f>(#REF!+#REF!+HZ37+LT37+LZ37+MF37+ML37+QL37+QN37+SN37+TC37+TM37+UC37)/I37</f>
        <v>#REF!</v>
      </c>
      <c r="UN37" s="90" t="e">
        <f>#REF!/I37</f>
        <v>#REF!</v>
      </c>
      <c r="UO37" s="90" t="e">
        <f>#REF!/I37</f>
        <v>#REF!</v>
      </c>
      <c r="UP37" s="90">
        <v>1.1499999999999999</v>
      </c>
      <c r="UQ37" s="90" t="e">
        <f t="shared" si="328"/>
        <v>#REF!</v>
      </c>
      <c r="UR37" s="90">
        <f t="shared" si="329"/>
        <v>3336.8150000000001</v>
      </c>
      <c r="US37" s="90">
        <f t="shared" si="330"/>
        <v>4150.3100000000004</v>
      </c>
      <c r="UT37" s="90">
        <f t="shared" si="331"/>
        <v>4150.3100000000004</v>
      </c>
      <c r="UU37" s="90">
        <f t="shared" si="516"/>
        <v>4296.22</v>
      </c>
      <c r="UV37" s="90">
        <f t="shared" si="333"/>
        <v>4276.8500000000004</v>
      </c>
      <c r="UW37" s="90">
        <f t="shared" si="334"/>
        <v>6.24</v>
      </c>
      <c r="UX37" s="90">
        <f t="shared" si="335"/>
        <v>3.92</v>
      </c>
      <c r="UY37" s="90">
        <f t="shared" si="336"/>
        <v>3.8019861286254724</v>
      </c>
      <c r="UZ37" s="100">
        <f t="shared" si="337"/>
        <v>3.5511983069999995</v>
      </c>
      <c r="VA37" s="90">
        <f t="shared" si="338"/>
        <v>0.72</v>
      </c>
      <c r="VB37" s="90">
        <f t="shared" si="339"/>
        <v>1.6</v>
      </c>
      <c r="VC37" s="90">
        <f t="shared" si="340"/>
        <v>0</v>
      </c>
      <c r="VD37" s="90">
        <f t="shared" si="341"/>
        <v>0</v>
      </c>
      <c r="VE37" s="90">
        <f t="shared" si="342"/>
        <v>0</v>
      </c>
      <c r="VF37" s="90">
        <f t="shared" si="343"/>
        <v>0</v>
      </c>
      <c r="VG37" s="90">
        <f t="shared" si="344"/>
        <v>0</v>
      </c>
      <c r="VH37" s="90">
        <f t="shared" si="345"/>
        <v>0</v>
      </c>
      <c r="VI37" s="90">
        <f t="shared" si="346"/>
        <v>0</v>
      </c>
      <c r="VJ37" s="90">
        <f t="shared" si="347"/>
        <v>0</v>
      </c>
      <c r="VK37" s="90">
        <f t="shared" si="348"/>
        <v>0.68</v>
      </c>
      <c r="VL37" s="90">
        <f t="shared" si="349"/>
        <v>3.64</v>
      </c>
      <c r="VM37" s="90">
        <f t="shared" si="350"/>
        <v>6.06</v>
      </c>
      <c r="VN37" s="90">
        <f t="shared" si="351"/>
        <v>0</v>
      </c>
      <c r="VO37" s="90">
        <f t="shared" si="352"/>
        <v>6.06</v>
      </c>
      <c r="VP37" s="97">
        <v>0</v>
      </c>
      <c r="VQ37" s="97">
        <v>6.06</v>
      </c>
      <c r="VR37" s="90">
        <f t="shared" si="353"/>
        <v>0.48</v>
      </c>
      <c r="VS37" s="90">
        <f t="shared" si="354"/>
        <v>0.17</v>
      </c>
      <c r="VT37" s="90">
        <v>0.11989898989898991</v>
      </c>
      <c r="VU37" s="90">
        <f t="shared" si="355"/>
        <v>0.16589999999999999</v>
      </c>
      <c r="VV37" s="90">
        <v>0.38175323599898991</v>
      </c>
      <c r="VW37" s="90">
        <f t="shared" si="356"/>
        <v>0.65</v>
      </c>
      <c r="VX37" s="90">
        <f t="shared" si="357"/>
        <v>16.59</v>
      </c>
      <c r="VY37" s="90">
        <f t="shared" si="358"/>
        <v>16.59</v>
      </c>
      <c r="VZ37" s="90">
        <f t="shared" si="359"/>
        <v>0</v>
      </c>
      <c r="WA37" s="90"/>
      <c r="WB37" s="90">
        <f t="shared" si="360"/>
        <v>16.59</v>
      </c>
      <c r="WC37" s="90">
        <f t="shared" si="361"/>
        <v>0</v>
      </c>
      <c r="WD37" s="90"/>
      <c r="WE37" s="90">
        <v>16.59</v>
      </c>
      <c r="WF37" s="90"/>
      <c r="WG37" s="90">
        <f t="shared" si="362"/>
        <v>5262.348</v>
      </c>
      <c r="WH37" s="90">
        <f t="shared" si="363"/>
        <v>5262.348</v>
      </c>
      <c r="WI37" s="90">
        <f t="shared" si="364"/>
        <v>5259.045000000001</v>
      </c>
      <c r="WJ37" s="90">
        <f t="shared" si="365"/>
        <v>3336.8150000000001</v>
      </c>
      <c r="WK37" s="97">
        <v>1922.23</v>
      </c>
      <c r="WL37" s="97">
        <v>6.06</v>
      </c>
      <c r="WM37" s="90">
        <f t="shared" si="366"/>
        <v>1922.23</v>
      </c>
      <c r="WN37" s="90">
        <f t="shared" si="367"/>
        <v>6.06</v>
      </c>
      <c r="WO37" s="90"/>
      <c r="WP37" s="97">
        <v>16.59</v>
      </c>
      <c r="WQ37" s="90">
        <f t="shared" si="368"/>
        <v>16.59</v>
      </c>
      <c r="WR37" s="91">
        <f t="shared" si="369"/>
        <v>113.78600823045268</v>
      </c>
      <c r="WS37" s="91">
        <f t="shared" si="370"/>
        <v>147.07446808510639</v>
      </c>
      <c r="WT37" s="90">
        <f t="shared" si="371"/>
        <v>5262.35</v>
      </c>
      <c r="WU37" s="90">
        <f t="shared" si="372"/>
        <v>5259.045000000001</v>
      </c>
      <c r="WV37" s="90">
        <f t="shared" si="373"/>
        <v>3.3049999999993815</v>
      </c>
      <c r="WW37" s="90">
        <v>3.3</v>
      </c>
      <c r="WX37" s="90"/>
      <c r="WY37" s="90"/>
      <c r="WZ37" s="90">
        <f t="shared" si="374"/>
        <v>4.9120434343434338</v>
      </c>
      <c r="XA37" s="90">
        <v>0</v>
      </c>
      <c r="XB37" s="90">
        <f t="shared" si="375"/>
        <v>4.9120434343434338</v>
      </c>
      <c r="XC37" s="90">
        <f t="shared" si="376"/>
        <v>0.46229999999999999</v>
      </c>
      <c r="XD37" s="90">
        <f t="shared" si="377"/>
        <v>0.15565656565656566</v>
      </c>
      <c r="XE37" s="90"/>
      <c r="XF37" s="90">
        <f t="shared" si="378"/>
        <v>15.41</v>
      </c>
      <c r="XG37" s="90">
        <v>5.3962377049180299</v>
      </c>
      <c r="XH37" s="20">
        <v>14.579999999999998</v>
      </c>
      <c r="XI37" s="20">
        <v>0</v>
      </c>
      <c r="XJ37" s="20"/>
      <c r="XK37" s="20"/>
      <c r="XL37" s="20"/>
      <c r="XM37" s="20">
        <f t="shared" si="379"/>
        <v>14.579999999999998</v>
      </c>
      <c r="XN37" s="91">
        <f t="shared" si="380"/>
        <v>113.78600823045268</v>
      </c>
      <c r="XO37" s="20">
        <f t="shared" si="381"/>
        <v>14.579999999999998</v>
      </c>
      <c r="XP37" s="90">
        <f t="shared" si="382"/>
        <v>11.279999999999998</v>
      </c>
      <c r="XQ37" s="91">
        <f t="shared" si="383"/>
        <v>113.78600823045268</v>
      </c>
      <c r="XR37" s="102"/>
      <c r="XS37" s="90">
        <f t="shared" si="384"/>
        <v>3.64</v>
      </c>
      <c r="XT37" s="90">
        <f t="shared" si="385"/>
        <v>6.24</v>
      </c>
      <c r="XU37" s="90">
        <f t="shared" si="386"/>
        <v>3.92</v>
      </c>
      <c r="XV37" s="90">
        <f t="shared" si="387"/>
        <v>0.72</v>
      </c>
      <c r="XW37" s="90">
        <f t="shared" si="388"/>
        <v>0.72</v>
      </c>
      <c r="XX37" s="90">
        <f t="shared" si="389"/>
        <v>0</v>
      </c>
      <c r="XY37" s="90">
        <f t="shared" si="390"/>
        <v>1.6</v>
      </c>
      <c r="XZ37" s="90">
        <f t="shared" si="391"/>
        <v>0</v>
      </c>
      <c r="YA37" s="90">
        <f t="shared" si="392"/>
        <v>0</v>
      </c>
      <c r="YB37" s="90">
        <f t="shared" si="537"/>
        <v>0</v>
      </c>
      <c r="YC37" s="90">
        <f t="shared" si="537"/>
        <v>0</v>
      </c>
      <c r="YD37" s="90">
        <f t="shared" si="394"/>
        <v>1.6</v>
      </c>
      <c r="YE37" s="90">
        <f t="shared" si="395"/>
        <v>6.06</v>
      </c>
      <c r="YF37" s="90">
        <f t="shared" si="396"/>
        <v>0.65</v>
      </c>
      <c r="YG37" s="90">
        <f t="shared" si="397"/>
        <v>16.59</v>
      </c>
      <c r="YI37" s="103" t="s">
        <v>485</v>
      </c>
      <c r="YK37" s="90">
        <f t="shared" si="398"/>
        <v>1.07</v>
      </c>
      <c r="YL37" s="90">
        <f t="shared" si="538"/>
        <v>0.72</v>
      </c>
      <c r="YM37" s="90">
        <f t="shared" si="538"/>
        <v>1.6</v>
      </c>
      <c r="YN37" s="90">
        <f t="shared" si="400"/>
        <v>3.64</v>
      </c>
      <c r="YO37" s="90">
        <f t="shared" si="401"/>
        <v>9.56</v>
      </c>
      <c r="YP37" s="90">
        <f t="shared" si="402"/>
        <v>0</v>
      </c>
      <c r="YQ37" s="90">
        <f t="shared" si="403"/>
        <v>16.59</v>
      </c>
      <c r="YR37" s="90">
        <f t="shared" si="404"/>
        <v>0</v>
      </c>
      <c r="YS37" s="104">
        <f t="shared" si="405"/>
        <v>16.59</v>
      </c>
      <c r="YT37" s="104">
        <f t="shared" si="406"/>
        <v>0</v>
      </c>
      <c r="YY37" s="90">
        <f t="shared" si="407"/>
        <v>8.23</v>
      </c>
      <c r="YZ37" s="90">
        <f t="shared" si="408"/>
        <v>4.18</v>
      </c>
      <c r="ZA37" s="90">
        <f t="shared" si="409"/>
        <v>0.76</v>
      </c>
      <c r="ZB37" s="90">
        <f t="shared" si="410"/>
        <v>3.29</v>
      </c>
      <c r="ZC37" s="90">
        <f t="shared" si="411"/>
        <v>0</v>
      </c>
      <c r="ZD37" s="90">
        <f t="shared" si="412"/>
        <v>0</v>
      </c>
      <c r="ZE37" s="90">
        <f t="shared" si="413"/>
        <v>0</v>
      </c>
      <c r="ZF37" s="90">
        <f t="shared" si="414"/>
        <v>0</v>
      </c>
      <c r="ZG37" s="90">
        <f t="shared" si="415"/>
        <v>0</v>
      </c>
      <c r="ZH37" s="90">
        <f t="shared" si="416"/>
        <v>0</v>
      </c>
      <c r="ZI37" s="90">
        <f t="shared" si="417"/>
        <v>0</v>
      </c>
      <c r="ZJ37" s="90">
        <f t="shared" si="418"/>
        <v>0</v>
      </c>
      <c r="ZK37" s="90">
        <f t="shared" si="419"/>
        <v>0</v>
      </c>
      <c r="ZL37" s="90">
        <f t="shared" si="420"/>
        <v>0.04</v>
      </c>
      <c r="ZM37" s="90">
        <f t="shared" si="421"/>
        <v>4.1100000000000003</v>
      </c>
      <c r="ZN37" s="90">
        <f t="shared" si="422"/>
        <v>8.35</v>
      </c>
      <c r="ZO37" s="90">
        <f t="shared" si="423"/>
        <v>7.66</v>
      </c>
      <c r="ZP37" s="90">
        <f t="shared" si="424"/>
        <v>5.0599999999999996</v>
      </c>
      <c r="ZQ37" s="90">
        <f t="shared" si="425"/>
        <v>0</v>
      </c>
      <c r="ZR37" s="90">
        <f t="shared" si="426"/>
        <v>5.0599999999999996</v>
      </c>
      <c r="ZS37" s="97">
        <v>227</v>
      </c>
      <c r="ZT37" s="97">
        <v>230.38</v>
      </c>
      <c r="ZU37" s="90">
        <f t="shared" si="427"/>
        <v>0.55000000000000004</v>
      </c>
      <c r="ZV37" s="90">
        <f t="shared" si="428"/>
        <v>0.19</v>
      </c>
      <c r="ZW37" s="90">
        <v>0.11989898989898991</v>
      </c>
      <c r="ZX37" s="90">
        <f t="shared" si="429"/>
        <v>0.18139999999999998</v>
      </c>
      <c r="ZY37" s="90">
        <v>0.38175323599898991</v>
      </c>
      <c r="ZZ37" s="90">
        <f t="shared" si="430"/>
        <v>0.74</v>
      </c>
      <c r="AAA37" s="90">
        <f t="shared" si="431"/>
        <v>18.139999999999997</v>
      </c>
      <c r="AAB37" s="90">
        <f t="shared" si="432"/>
        <v>18.139999999999997</v>
      </c>
      <c r="AAC37" s="90">
        <f t="shared" si="433"/>
        <v>0</v>
      </c>
      <c r="AAD37" s="90"/>
      <c r="AAE37" s="90">
        <f t="shared" si="434"/>
        <v>18.139999999999997</v>
      </c>
      <c r="AAF37" s="90">
        <v>16.59</v>
      </c>
      <c r="AAG37" s="90">
        <f t="shared" si="435"/>
        <v>109.34297769740806</v>
      </c>
      <c r="AAH37" s="90">
        <f t="shared" si="436"/>
        <v>0</v>
      </c>
      <c r="AAI37" s="90">
        <v>0</v>
      </c>
      <c r="AAJ37" s="90"/>
      <c r="AAK37" s="1">
        <v>17.93</v>
      </c>
      <c r="AAL37" s="104">
        <f t="shared" si="437"/>
        <v>0.2099999999999973</v>
      </c>
      <c r="AAM37" s="103" t="s">
        <v>478</v>
      </c>
      <c r="AAN37" s="105">
        <v>8.25</v>
      </c>
      <c r="AAO37" s="90">
        <f t="shared" si="438"/>
        <v>9.09</v>
      </c>
      <c r="AAP37" s="90">
        <v>4.21</v>
      </c>
      <c r="AAQ37" s="90">
        <f t="shared" si="439"/>
        <v>4.18</v>
      </c>
      <c r="AAR37" s="90">
        <v>0.76</v>
      </c>
      <c r="AAS37" s="90">
        <f t="shared" si="440"/>
        <v>1.1599999999999999</v>
      </c>
      <c r="AAT37" s="90">
        <f t="shared" si="441"/>
        <v>152.63157894736841</v>
      </c>
      <c r="AAU37" s="90">
        <v>3.28</v>
      </c>
      <c r="AAV37" s="90">
        <f t="shared" si="442"/>
        <v>3.29</v>
      </c>
      <c r="AAW37" s="90">
        <f t="shared" si="443"/>
        <v>100.30487804878049</v>
      </c>
      <c r="AAX37" s="90">
        <f t="shared" si="444"/>
        <v>0.46</v>
      </c>
      <c r="AAY37" s="90">
        <f t="shared" si="445"/>
        <v>0</v>
      </c>
      <c r="AAZ37" s="90">
        <f t="shared" si="446"/>
        <v>0</v>
      </c>
      <c r="ABA37" s="90">
        <f t="shared" si="447"/>
        <v>0</v>
      </c>
      <c r="ABB37" s="90">
        <f t="shared" si="448"/>
        <v>0</v>
      </c>
      <c r="ABC37" s="90">
        <v>0</v>
      </c>
      <c r="ABD37" s="90">
        <f t="shared" si="449"/>
        <v>0</v>
      </c>
      <c r="ABE37" s="90"/>
      <c r="ABF37" s="90">
        <v>0</v>
      </c>
      <c r="ABG37" s="90">
        <f t="shared" si="450"/>
        <v>0</v>
      </c>
      <c r="ABH37" s="90"/>
      <c r="ABI37" s="90">
        <f t="shared" si="451"/>
        <v>0</v>
      </c>
      <c r="ABJ37" s="90">
        <f t="shared" si="452"/>
        <v>0</v>
      </c>
      <c r="ABK37" s="90">
        <v>0</v>
      </c>
      <c r="ABL37" s="90">
        <f t="shared" si="453"/>
        <v>0</v>
      </c>
      <c r="ABM37" s="90">
        <f t="shared" si="454"/>
        <v>0</v>
      </c>
      <c r="ABN37" s="90">
        <f t="shared" si="455"/>
        <v>0.02</v>
      </c>
      <c r="ABO37" s="90">
        <v>3.91</v>
      </c>
      <c r="ABP37" s="90">
        <f t="shared" si="456"/>
        <v>4.1100000000000003</v>
      </c>
      <c r="ABQ37" s="90">
        <f t="shared" si="457"/>
        <v>105.1150895140665</v>
      </c>
      <c r="ABR37" s="90">
        <f t="shared" si="458"/>
        <v>8.35</v>
      </c>
      <c r="ABS37" s="90">
        <f t="shared" si="459"/>
        <v>7.66</v>
      </c>
      <c r="ABT37" s="90">
        <v>5.0599999999999996</v>
      </c>
      <c r="ABU37" s="90">
        <f t="shared" si="460"/>
        <v>5.0599999999999996</v>
      </c>
      <c r="ABV37" s="90">
        <f t="shared" si="461"/>
        <v>100</v>
      </c>
      <c r="ABW37" s="90">
        <f t="shared" si="462"/>
        <v>0.01</v>
      </c>
      <c r="ABX37" s="90">
        <f t="shared" si="463"/>
        <v>5.0699999999999994</v>
      </c>
      <c r="ABY37" s="97">
        <v>227</v>
      </c>
      <c r="ABZ37" s="97">
        <v>230.38</v>
      </c>
      <c r="ACA37" s="90">
        <f t="shared" si="464"/>
        <v>0.55000000000000004</v>
      </c>
      <c r="ACB37" s="90">
        <f t="shared" si="465"/>
        <v>0.19</v>
      </c>
      <c r="ACC37" s="90">
        <v>0.11989898989898991</v>
      </c>
      <c r="ACD37" s="90">
        <f t="shared" si="466"/>
        <v>0.18549999999999997</v>
      </c>
      <c r="ACE37" s="90">
        <v>0.38175323599898991</v>
      </c>
      <c r="ACF37" s="90">
        <v>0.7</v>
      </c>
      <c r="ACG37" s="90">
        <f t="shared" si="467"/>
        <v>0.74</v>
      </c>
      <c r="ACH37" s="90">
        <f t="shared" si="468"/>
        <v>105.71428571428572</v>
      </c>
      <c r="ACI37" s="90">
        <f t="shared" si="469"/>
        <v>18.999999999999996</v>
      </c>
      <c r="ACJ37" s="90">
        <f t="shared" si="470"/>
        <v>18.549999999999997</v>
      </c>
      <c r="ACK37" s="90">
        <f t="shared" si="471"/>
        <v>-0.44999999999999929</v>
      </c>
      <c r="ACL37" s="90"/>
      <c r="ACM37" s="90">
        <f t="shared" si="472"/>
        <v>18.999999999999996</v>
      </c>
      <c r="ACN37" s="90">
        <f t="shared" si="473"/>
        <v>0</v>
      </c>
      <c r="ACO37" s="90">
        <f t="shared" si="474"/>
        <v>18.999999999999996</v>
      </c>
      <c r="ACP37" s="90">
        <v>17.919999999999998</v>
      </c>
      <c r="ACQ37" s="90">
        <f t="shared" si="475"/>
        <v>106.02678571428569</v>
      </c>
      <c r="ACR37" s="90">
        <f t="shared" si="476"/>
        <v>0</v>
      </c>
      <c r="ACS37" s="90">
        <v>0</v>
      </c>
      <c r="ACT37" s="90"/>
      <c r="ACU37" s="90">
        <f t="shared" si="477"/>
        <v>18.833919999999996</v>
      </c>
      <c r="ACV37" s="90">
        <f t="shared" si="478"/>
        <v>-0.16608000000000089</v>
      </c>
      <c r="ACX37" s="106" t="s">
        <v>439</v>
      </c>
      <c r="ACY37" s="107">
        <v>74000</v>
      </c>
      <c r="ACZ37" s="107">
        <v>74000</v>
      </c>
      <c r="ADB37" s="90">
        <f t="shared" si="479"/>
        <v>4.1100000000000003</v>
      </c>
      <c r="ADC37" s="90">
        <f t="shared" si="480"/>
        <v>9.09</v>
      </c>
      <c r="ADD37" s="90">
        <f t="shared" si="481"/>
        <v>4.18</v>
      </c>
      <c r="ADE37" s="90">
        <f t="shared" si="517"/>
        <v>1.6199999999999999</v>
      </c>
      <c r="ADF37" s="90">
        <f t="shared" si="483"/>
        <v>1.1599999999999999</v>
      </c>
      <c r="ADG37" s="90">
        <f t="shared" si="539"/>
        <v>0.46</v>
      </c>
      <c r="ADH37" s="90">
        <f t="shared" si="539"/>
        <v>0</v>
      </c>
      <c r="ADI37" s="90">
        <f t="shared" si="539"/>
        <v>0</v>
      </c>
      <c r="ADJ37" s="90">
        <f t="shared" si="485"/>
        <v>3.29</v>
      </c>
      <c r="ADK37" s="90">
        <f t="shared" si="486"/>
        <v>0</v>
      </c>
      <c r="ADL37" s="90">
        <f t="shared" si="487"/>
        <v>0</v>
      </c>
      <c r="ADM37" s="90">
        <f t="shared" si="540"/>
        <v>0</v>
      </c>
      <c r="ADN37" s="90">
        <f t="shared" si="540"/>
        <v>0</v>
      </c>
      <c r="ADO37" s="90">
        <f t="shared" si="489"/>
        <v>3.29</v>
      </c>
      <c r="ADP37" s="90">
        <f t="shared" si="490"/>
        <v>5.0599999999999996</v>
      </c>
      <c r="ADQ37" s="90">
        <f t="shared" si="491"/>
        <v>0.74</v>
      </c>
      <c r="ADR37" s="90">
        <f t="shared" si="492"/>
        <v>18.999999999999996</v>
      </c>
      <c r="ADU37" s="90">
        <f t="shared" si="493"/>
        <v>1.1499999999999999</v>
      </c>
      <c r="ADV37" s="90">
        <f t="shared" si="494"/>
        <v>1.1599999999999999</v>
      </c>
      <c r="ADW37" s="90">
        <f t="shared" si="495"/>
        <v>3.29</v>
      </c>
      <c r="ADX37" s="90">
        <f t="shared" si="496"/>
        <v>4.1100000000000003</v>
      </c>
      <c r="ADY37" s="90">
        <f t="shared" si="497"/>
        <v>8.83</v>
      </c>
      <c r="ADZ37" s="90">
        <f t="shared" si="498"/>
        <v>0</v>
      </c>
      <c r="AEA37" s="90">
        <f t="shared" si="499"/>
        <v>18.999999999999996</v>
      </c>
      <c r="AEB37" s="90">
        <f t="shared" si="500"/>
        <v>0</v>
      </c>
      <c r="AEC37" s="104">
        <f t="shared" si="501"/>
        <v>18.54</v>
      </c>
      <c r="AED37" s="104">
        <f t="shared" si="502"/>
        <v>0.4599999999999973</v>
      </c>
      <c r="AEG37" s="1">
        <v>8.25</v>
      </c>
      <c r="AEH37" s="1">
        <v>4.21</v>
      </c>
      <c r="AEI37" s="1">
        <v>0.76</v>
      </c>
      <c r="AEJ37" s="1">
        <v>3.28</v>
      </c>
      <c r="AEK37" s="1">
        <v>0</v>
      </c>
      <c r="AEL37" s="1">
        <v>0</v>
      </c>
      <c r="AEM37" s="1">
        <v>0</v>
      </c>
      <c r="AEN37" s="1">
        <v>0</v>
      </c>
      <c r="AEO37" s="1">
        <v>0</v>
      </c>
      <c r="AEP37" s="1">
        <v>0</v>
      </c>
      <c r="AEQ37" s="1">
        <v>0</v>
      </c>
      <c r="AER37" s="1">
        <v>0</v>
      </c>
      <c r="AES37" s="1">
        <v>0</v>
      </c>
      <c r="AET37" s="1">
        <v>0</v>
      </c>
      <c r="AEU37" s="1">
        <v>0</v>
      </c>
      <c r="AEV37" s="1">
        <v>0.02</v>
      </c>
      <c r="AEW37" s="1">
        <v>3.91</v>
      </c>
      <c r="AEX37" s="1">
        <v>8.34</v>
      </c>
      <c r="AEY37" s="1">
        <v>7.66</v>
      </c>
      <c r="AEZ37" s="1">
        <v>5.0599999999999996</v>
      </c>
      <c r="AFA37" s="1">
        <v>0.01</v>
      </c>
      <c r="AFB37" s="1">
        <v>5.0699999999999994</v>
      </c>
      <c r="AFC37" s="1">
        <v>227</v>
      </c>
      <c r="AFD37" s="1">
        <v>230.38</v>
      </c>
      <c r="AFE37" s="1">
        <v>0.52</v>
      </c>
      <c r="AFF37" s="1">
        <v>0.18</v>
      </c>
      <c r="AFG37" s="1">
        <v>0.11989898989898991</v>
      </c>
      <c r="AFH37" s="1">
        <v>0.17929999999999999</v>
      </c>
      <c r="AFI37" s="1">
        <v>0.38175323599898991</v>
      </c>
      <c r="AFJ37" s="1">
        <v>0.7</v>
      </c>
      <c r="AFK37" s="1">
        <v>17.919999999999998</v>
      </c>
      <c r="AFL37" s="1">
        <v>17.93</v>
      </c>
      <c r="AFM37" s="1">
        <v>1.0000000000001563E-2</v>
      </c>
      <c r="AFO37" s="1">
        <v>17.919999999999998</v>
      </c>
      <c r="AFP37" s="1">
        <v>0</v>
      </c>
      <c r="AFQ37" s="1">
        <v>17.93</v>
      </c>
      <c r="AFX37" s="1">
        <v>18.64</v>
      </c>
    </row>
    <row r="38" spans="1:856" s="1" customFormat="1" ht="63.75" customHeight="1">
      <c r="A38" s="88">
        <v>30</v>
      </c>
      <c r="B38" s="20"/>
      <c r="C38" s="89" t="s">
        <v>517</v>
      </c>
      <c r="D38" s="20"/>
      <c r="E38" s="20" t="s">
        <v>437</v>
      </c>
      <c r="F38" s="20" t="s">
        <v>438</v>
      </c>
      <c r="G38" s="20">
        <v>0.8</v>
      </c>
      <c r="H38" s="20">
        <v>344.9</v>
      </c>
      <c r="I38" s="20">
        <f>344.9-0.1</f>
        <v>344.79999999999995</v>
      </c>
      <c r="J38" s="20">
        <f t="shared" si="0"/>
        <v>275.83999999999997</v>
      </c>
      <c r="K38" s="20">
        <v>8</v>
      </c>
      <c r="L38" s="20"/>
      <c r="M38" s="20"/>
      <c r="N38" s="20"/>
      <c r="O38" s="90">
        <f t="shared" si="1"/>
        <v>0</v>
      </c>
      <c r="P38" s="20"/>
      <c r="Q38" s="20"/>
      <c r="R38" s="90">
        <f t="shared" si="2"/>
        <v>0</v>
      </c>
      <c r="S38" s="20">
        <v>29.4</v>
      </c>
      <c r="T38" s="20">
        <v>2.6</v>
      </c>
      <c r="U38" s="20">
        <v>3.13</v>
      </c>
      <c r="V38" s="91">
        <f t="shared" si="3"/>
        <v>239.26</v>
      </c>
      <c r="W38" s="20">
        <v>2.1000000000000001E-2</v>
      </c>
      <c r="X38" s="20">
        <f t="shared" si="4"/>
        <v>33.42</v>
      </c>
      <c r="Y38" s="91">
        <f t="shared" si="5"/>
        <v>20.63</v>
      </c>
      <c r="Z38" s="20"/>
      <c r="AA38" s="20"/>
      <c r="AB38" s="20"/>
      <c r="AC38" s="91">
        <f t="shared" si="6"/>
        <v>259.89</v>
      </c>
      <c r="AD38" s="90">
        <f t="shared" si="7"/>
        <v>0.75</v>
      </c>
      <c r="AE38" s="92">
        <f t="shared" si="8"/>
        <v>3118.68</v>
      </c>
      <c r="AF38" s="20">
        <v>16</v>
      </c>
      <c r="AG38" s="20">
        <v>14</v>
      </c>
      <c r="AH38" s="20">
        <v>14</v>
      </c>
      <c r="AI38" s="20">
        <f>12+2</f>
        <v>14</v>
      </c>
      <c r="AJ38" s="20">
        <v>1.6</v>
      </c>
      <c r="AK38" s="90">
        <f t="shared" si="9"/>
        <v>1.87</v>
      </c>
      <c r="AL38" s="90">
        <v>391.01</v>
      </c>
      <c r="AM38" s="90">
        <f t="shared" si="10"/>
        <v>731.19</v>
      </c>
      <c r="AN38" s="20">
        <v>15</v>
      </c>
      <c r="AO38" s="20">
        <v>15</v>
      </c>
      <c r="AP38" s="20">
        <v>16</v>
      </c>
      <c r="AQ38" s="20">
        <v>15</v>
      </c>
      <c r="AR38" s="20">
        <v>15</v>
      </c>
      <c r="AS38" s="20">
        <v>15</v>
      </c>
      <c r="AT38" s="20">
        <f t="shared" si="11"/>
        <v>2</v>
      </c>
      <c r="AU38" s="20">
        <v>1.6</v>
      </c>
      <c r="AV38" s="90">
        <f t="shared" si="12"/>
        <v>2.13</v>
      </c>
      <c r="AW38" s="90">
        <f t="shared" si="548"/>
        <v>180.78</v>
      </c>
      <c r="AX38" s="90">
        <v>361.56</v>
      </c>
      <c r="AY38" s="90">
        <f t="shared" si="14"/>
        <v>1.05</v>
      </c>
      <c r="AZ38" s="90">
        <f t="shared" si="15"/>
        <v>834.15</v>
      </c>
      <c r="BA38" s="90">
        <f t="shared" si="16"/>
        <v>-472.59</v>
      </c>
      <c r="BB38" s="90">
        <v>361.56</v>
      </c>
      <c r="BC38" s="90">
        <v>1.05</v>
      </c>
      <c r="BD38" s="92">
        <f t="shared" si="17"/>
        <v>4338.72</v>
      </c>
      <c r="BE38" s="90"/>
      <c r="BF38" s="90">
        <f t="shared" si="18"/>
        <v>0</v>
      </c>
      <c r="BG38" s="90">
        <v>391.01</v>
      </c>
      <c r="BH38" s="90">
        <f t="shared" si="19"/>
        <v>832.85</v>
      </c>
      <c r="BI38" s="90">
        <f t="shared" si="20"/>
        <v>2.42</v>
      </c>
      <c r="BJ38" s="90">
        <f t="shared" si="21"/>
        <v>230.47619047619045</v>
      </c>
      <c r="BK38" s="90">
        <f t="shared" si="22"/>
        <v>832.85</v>
      </c>
      <c r="BL38" s="90">
        <f t="shared" si="23"/>
        <v>2.42</v>
      </c>
      <c r="BM38" s="90"/>
      <c r="BN38" s="90">
        <f t="shared" si="24"/>
        <v>0</v>
      </c>
      <c r="BO38" s="90">
        <f t="shared" si="25"/>
        <v>832.85</v>
      </c>
      <c r="BP38" s="90">
        <f t="shared" si="26"/>
        <v>2.415458236658933</v>
      </c>
      <c r="BQ38" s="90"/>
      <c r="BR38" s="90">
        <f t="shared" si="27"/>
        <v>0</v>
      </c>
      <c r="BS38" s="90">
        <f t="shared" si="28"/>
        <v>832.85</v>
      </c>
      <c r="BT38" s="90">
        <f t="shared" si="29"/>
        <v>2.415458236658933</v>
      </c>
      <c r="BU38" s="90"/>
      <c r="BV38" s="93">
        <v>1.4356370000000001</v>
      </c>
      <c r="BW38" s="90">
        <f t="shared" si="30"/>
        <v>495.00763759999995</v>
      </c>
      <c r="BX38" s="90">
        <f t="shared" si="31"/>
        <v>524.708095856</v>
      </c>
      <c r="BY38" s="90"/>
      <c r="BZ38" s="90"/>
      <c r="CA38" s="90">
        <v>0.2651</v>
      </c>
      <c r="CB38" s="90">
        <f>$I38*CA38</f>
        <v>91.406479999999988</v>
      </c>
      <c r="CC38" s="90">
        <v>0.71072749999999996</v>
      </c>
      <c r="CD38" s="90">
        <f t="shared" si="33"/>
        <v>64.965099014199993</v>
      </c>
      <c r="CE38" s="90">
        <f t="shared" si="34"/>
        <v>98.233826787766404</v>
      </c>
      <c r="CF38" s="90">
        <f>I38*0.278131673</f>
        <v>95.899800850399998</v>
      </c>
      <c r="CG38" s="90">
        <f>I38*0.278131673</f>
        <v>95.899800850399998</v>
      </c>
      <c r="CH38" s="90">
        <f t="shared" si="35"/>
        <v>100.5</v>
      </c>
      <c r="CI38" s="90">
        <f t="shared" si="524"/>
        <v>105.47423158254485</v>
      </c>
      <c r="CJ38" s="90">
        <f t="shared" si="36"/>
        <v>106.03</v>
      </c>
      <c r="CK38" s="90">
        <f t="shared" si="37"/>
        <v>112.13487622017647</v>
      </c>
      <c r="CL38" s="90">
        <f t="shared" si="38"/>
        <v>112.13487622017647</v>
      </c>
      <c r="CM38" s="94">
        <v>0.14899999999999999</v>
      </c>
      <c r="CN38" s="90">
        <f t="shared" si="39"/>
        <v>73.756138002399993</v>
      </c>
      <c r="CO38" s="90">
        <f t="shared" si="40"/>
        <v>78.181506282543992</v>
      </c>
      <c r="CP38" s="90"/>
      <c r="CQ38" s="90">
        <v>3.9539251999999997E-2</v>
      </c>
      <c r="CR38" s="90">
        <f>$I38*CQ38</f>
        <v>13.633134089599997</v>
      </c>
      <c r="CS38" s="90">
        <v>0.71072749999999996</v>
      </c>
      <c r="CT38" s="90">
        <f t="shared" si="42"/>
        <v>9.6894433086661813</v>
      </c>
      <c r="CU38" s="90">
        <f t="shared" si="43"/>
        <v>14.65142222665351</v>
      </c>
      <c r="CV38" s="90">
        <f>I38*0.085943583</f>
        <v>29.633347418399996</v>
      </c>
      <c r="CW38" s="90">
        <f t="shared" si="44"/>
        <v>31.06</v>
      </c>
      <c r="CX38" s="90">
        <f t="shared" si="525"/>
        <v>32.59730978063525</v>
      </c>
      <c r="CY38" s="90">
        <f t="shared" si="45"/>
        <v>32.770000000000003</v>
      </c>
      <c r="CZ38" s="90">
        <f t="shared" si="46"/>
        <v>34.655813486554038</v>
      </c>
      <c r="DA38" s="90">
        <f t="shared" si="47"/>
        <v>34.655813486554038</v>
      </c>
      <c r="DB38" s="93">
        <v>1.4169099999999999</v>
      </c>
      <c r="DC38" s="90">
        <f t="shared" si="48"/>
        <v>488.55056799999988</v>
      </c>
      <c r="DD38" s="90">
        <f t="shared" si="49"/>
        <v>517.86360207999985</v>
      </c>
      <c r="DE38" s="90"/>
      <c r="DF38" s="90"/>
      <c r="DG38" s="90">
        <v>0.16261500000000001</v>
      </c>
      <c r="DH38" s="90">
        <f>$I38*DG38</f>
        <v>56.069651999999998</v>
      </c>
      <c r="DI38" s="90">
        <v>0.71072749999999996</v>
      </c>
      <c r="DJ38" s="90">
        <f t="shared" si="51"/>
        <v>39.850243591829994</v>
      </c>
      <c r="DK38" s="90">
        <f t="shared" si="52"/>
        <v>60.257615024868471</v>
      </c>
      <c r="DL38" s="90">
        <f>I38*0.138251926</f>
        <v>47.669264084799991</v>
      </c>
      <c r="DM38" s="90">
        <f t="shared" si="53"/>
        <v>49.96</v>
      </c>
      <c r="DN38" s="90">
        <f t="shared" si="526"/>
        <v>52.432762287203396</v>
      </c>
      <c r="DO38" s="90">
        <f t="shared" si="54"/>
        <v>52.71</v>
      </c>
      <c r="DP38" s="90">
        <f t="shared" si="55"/>
        <v>55.743864835423054</v>
      </c>
      <c r="DQ38" s="90">
        <f t="shared" si="56"/>
        <v>55.743864835423054</v>
      </c>
      <c r="DR38" s="93">
        <v>5.6880149999999997E-2</v>
      </c>
      <c r="DS38" s="90">
        <f t="shared" si="57"/>
        <v>19.612275719999996</v>
      </c>
      <c r="DT38" s="90">
        <f t="shared" si="58"/>
        <v>20.789012263199997</v>
      </c>
      <c r="DU38" s="90"/>
      <c r="DV38" s="90">
        <v>6.1506E-3</v>
      </c>
      <c r="DW38" s="90">
        <f>$I38*DV38</f>
        <v>2.1207268799999999</v>
      </c>
      <c r="DX38" s="90">
        <v>0.71072749999999996</v>
      </c>
      <c r="DY38" s="90">
        <f t="shared" si="60"/>
        <v>1.5072589136051999</v>
      </c>
      <c r="DZ38" s="90">
        <f t="shared" si="61"/>
        <v>2.2791285365553984</v>
      </c>
      <c r="EA38" s="90">
        <f t="shared" si="62"/>
        <v>2.39</v>
      </c>
      <c r="EB38" s="90">
        <f t="shared" si="527"/>
        <v>2.5082926714654947</v>
      </c>
      <c r="EC38" s="90">
        <f t="shared" si="63"/>
        <v>2.52</v>
      </c>
      <c r="ED38" s="90">
        <f t="shared" si="64"/>
        <v>2.6666900912061871</v>
      </c>
      <c r="EE38" s="90">
        <f t="shared" si="65"/>
        <v>2.6666900912061871</v>
      </c>
      <c r="EF38" s="94">
        <v>0.85293354333000004</v>
      </c>
      <c r="EG38" s="90">
        <f t="shared" si="66"/>
        <v>235.27318859214719</v>
      </c>
      <c r="EH38" s="90">
        <f t="shared" si="67"/>
        <v>249.38957990767605</v>
      </c>
      <c r="EI38" s="90"/>
      <c r="EJ38" s="90">
        <v>0.58975</v>
      </c>
      <c r="EK38" s="90">
        <f t="shared" si="68"/>
        <v>162.67663999999999</v>
      </c>
      <c r="EL38" s="90">
        <v>0.71072749999999996</v>
      </c>
      <c r="EM38" s="90">
        <f t="shared" si="69"/>
        <v>115.61876165559998</v>
      </c>
      <c r="EN38" s="90">
        <f t="shared" si="70"/>
        <v>174.82730848158499</v>
      </c>
      <c r="EO38" s="90">
        <f>J38*0.618109699</f>
        <v>170.49937937215998</v>
      </c>
      <c r="EP38" s="90">
        <f t="shared" si="71"/>
        <v>178.68</v>
      </c>
      <c r="EQ38" s="90">
        <f t="shared" si="528"/>
        <v>187.52373830019019</v>
      </c>
      <c r="ER38" s="90">
        <f t="shared" si="72"/>
        <v>188.51</v>
      </c>
      <c r="ES38" s="90">
        <f t="shared" si="73"/>
        <v>199.36576799026</v>
      </c>
      <c r="ET38" s="90">
        <f t="shared" si="74"/>
        <v>199.36576799026</v>
      </c>
      <c r="EU38" s="94">
        <v>0.14899999999999999</v>
      </c>
      <c r="EV38" s="90">
        <f t="shared" si="75"/>
        <v>35.055705100229929</v>
      </c>
      <c r="EW38" s="90">
        <f t="shared" si="76"/>
        <v>37.159047406243729</v>
      </c>
      <c r="EX38" s="90"/>
      <c r="EY38" s="90">
        <v>8.7870000000000004E-2</v>
      </c>
      <c r="EZ38" s="90">
        <f t="shared" si="77"/>
        <v>24.2380608</v>
      </c>
      <c r="FA38" s="90">
        <v>0.71072749999999996</v>
      </c>
      <c r="FB38" s="90">
        <f t="shared" si="78"/>
        <v>17.226656357231999</v>
      </c>
      <c r="FC38" s="90">
        <f t="shared" si="79"/>
        <v>26.0484537452766</v>
      </c>
      <c r="FD38" s="90">
        <f>J38*0.191129561</f>
        <v>52.721178106239996</v>
      </c>
      <c r="FE38" s="90">
        <f t="shared" si="80"/>
        <v>55.25</v>
      </c>
      <c r="FF38" s="90">
        <f t="shared" si="529"/>
        <v>57.98458999935923</v>
      </c>
      <c r="FG38" s="90">
        <f t="shared" si="81"/>
        <v>58.29</v>
      </c>
      <c r="FH38" s="90">
        <f t="shared" si="82"/>
        <v>61.646287673281087</v>
      </c>
      <c r="FI38" s="90">
        <f t="shared" si="83"/>
        <v>61.646287673281087</v>
      </c>
      <c r="FJ38" s="93">
        <v>0.49981642240000002</v>
      </c>
      <c r="FK38" s="90">
        <f t="shared" si="84"/>
        <v>137.86936195481599</v>
      </c>
      <c r="FL38" s="90">
        <f t="shared" si="85"/>
        <v>146.14152367210494</v>
      </c>
      <c r="FM38" s="90"/>
      <c r="FN38" s="90">
        <v>0.35812500000000003</v>
      </c>
      <c r="FO38" s="90">
        <f t="shared" si="86"/>
        <v>98.785200000000003</v>
      </c>
      <c r="FP38" s="90">
        <v>0.71072749999999996</v>
      </c>
      <c r="FQ38" s="90">
        <f t="shared" si="87"/>
        <v>70.209358233000003</v>
      </c>
      <c r="FR38" s="90">
        <f t="shared" si="88"/>
        <v>106.16367927082263</v>
      </c>
      <c r="FS38" s="90">
        <f>J38*0.303398168</f>
        <v>83.689350661120002</v>
      </c>
      <c r="FT38" s="90">
        <f t="shared" si="89"/>
        <v>87.71</v>
      </c>
      <c r="FU38" s="90">
        <f>J38*0.303651882</f>
        <v>83.75933513087999</v>
      </c>
      <c r="FV38" s="90">
        <f t="shared" si="90"/>
        <v>87.78</v>
      </c>
      <c r="FW38" s="90">
        <f t="shared" si="530"/>
        <v>92.124657197171999</v>
      </c>
      <c r="FX38" s="90">
        <f t="shared" si="91"/>
        <v>92.61</v>
      </c>
      <c r="FY38" s="90">
        <f t="shared" si="92"/>
        <v>97.942282931413814</v>
      </c>
      <c r="FZ38" s="90">
        <f t="shared" si="93"/>
        <v>97.942282931413814</v>
      </c>
      <c r="GA38" s="94">
        <v>1.352261642E-2</v>
      </c>
      <c r="GB38" s="90">
        <f t="shared" si="94"/>
        <v>3.7300785132927996</v>
      </c>
      <c r="GC38" s="90">
        <f t="shared" si="95"/>
        <v>3.9538832240903679</v>
      </c>
      <c r="GD38" s="90"/>
      <c r="GE38" s="90">
        <v>1.0749999999999999E-2</v>
      </c>
      <c r="GF38" s="90">
        <f t="shared" si="96"/>
        <v>2.9652799999999995</v>
      </c>
      <c r="GG38" s="90">
        <v>0.71072749999999996</v>
      </c>
      <c r="GH38" s="90">
        <f t="shared" si="97"/>
        <v>2.1075060411999993</v>
      </c>
      <c r="GI38" s="90">
        <f t="shared" si="98"/>
        <v>3.1867631473964195</v>
      </c>
      <c r="GJ38" s="90">
        <f t="shared" si="99"/>
        <v>3.34</v>
      </c>
      <c r="GK38" s="90">
        <f t="shared" si="531"/>
        <v>3.5053127710019876</v>
      </c>
      <c r="GL38" s="90">
        <f t="shared" si="100"/>
        <v>3.52</v>
      </c>
      <c r="GM38" s="90">
        <f t="shared" si="101"/>
        <v>3.7266715082128292</v>
      </c>
      <c r="GN38" s="90">
        <f t="shared" si="102"/>
        <v>3.7266715082128292</v>
      </c>
      <c r="GO38" s="90">
        <v>1612.8</v>
      </c>
      <c r="GP38" s="90">
        <f t="shared" si="103"/>
        <v>134.4</v>
      </c>
      <c r="GQ38" s="90">
        <f>1058.4+69.3</f>
        <v>1127.7</v>
      </c>
      <c r="GR38" s="90">
        <f t="shared" si="104"/>
        <v>93.975000000000009</v>
      </c>
      <c r="GS38" s="90">
        <f t="shared" si="105"/>
        <v>228.375</v>
      </c>
      <c r="GT38" s="90">
        <f t="shared" si="106"/>
        <v>0.66</v>
      </c>
      <c r="GU38" s="90">
        <v>1842.24</v>
      </c>
      <c r="GV38" s="90">
        <f>1003.2+66.12</f>
        <v>1069.3200000000002</v>
      </c>
      <c r="GW38" s="90">
        <f t="shared" si="107"/>
        <v>242.63000000000002</v>
      </c>
      <c r="GX38" s="90">
        <f t="shared" si="108"/>
        <v>0.7</v>
      </c>
      <c r="GY38" s="90">
        <v>3292.32</v>
      </c>
      <c r="GZ38" s="90">
        <f>1067.04+70.68</f>
        <v>1137.72</v>
      </c>
      <c r="HA38" s="90">
        <f t="shared" si="109"/>
        <v>369.17</v>
      </c>
      <c r="HB38" s="90">
        <f t="shared" si="110"/>
        <v>1.07</v>
      </c>
      <c r="HC38" s="90">
        <v>3292.32</v>
      </c>
      <c r="HD38" s="90">
        <f>1067.04+70.68</f>
        <v>1137.72</v>
      </c>
      <c r="HE38" s="90">
        <f t="shared" si="111"/>
        <v>369.17</v>
      </c>
      <c r="HF38" s="90">
        <f t="shared" si="112"/>
        <v>1.07</v>
      </c>
      <c r="HG38" s="90"/>
      <c r="HH38" s="90"/>
      <c r="HI38" s="90">
        <v>0.96</v>
      </c>
      <c r="HJ38" s="90">
        <f t="shared" si="113"/>
        <v>331.00799999999992</v>
      </c>
      <c r="HK38" s="90">
        <f t="shared" si="114"/>
        <v>1.0060904872389791</v>
      </c>
      <c r="HL38" s="90">
        <f t="shared" si="115"/>
        <v>346.9</v>
      </c>
      <c r="HM38" s="90">
        <v>1.07</v>
      </c>
      <c r="HN38" s="90">
        <f t="shared" si="116"/>
        <v>368.93599999999998</v>
      </c>
      <c r="HO38" s="90">
        <v>1.1499999999999999</v>
      </c>
      <c r="HP38" s="90">
        <f t="shared" si="117"/>
        <v>396.52</v>
      </c>
      <c r="HQ38" s="90">
        <v>1.1499999999999999</v>
      </c>
      <c r="HR38" s="90">
        <f t="shared" si="118"/>
        <v>396.52</v>
      </c>
      <c r="HS38" s="90">
        <v>0.31919999999999998</v>
      </c>
      <c r="HT38" s="90">
        <f t="shared" si="119"/>
        <v>110.06015999999998</v>
      </c>
      <c r="HU38" s="90" t="e">
        <f>HT38*#REF!</f>
        <v>#REF!</v>
      </c>
      <c r="HV38" s="90">
        <v>2.83</v>
      </c>
      <c r="HW38" s="90">
        <v>3.1</v>
      </c>
      <c r="HX38" s="90">
        <f t="shared" si="120"/>
        <v>1068.8799999999999</v>
      </c>
      <c r="HY38" s="90">
        <v>1.06</v>
      </c>
      <c r="HZ38" s="90">
        <f t="shared" si="121"/>
        <v>1133.0128</v>
      </c>
      <c r="IA38" s="90">
        <f t="shared" si="122"/>
        <v>3.29</v>
      </c>
      <c r="IB38" s="90">
        <f t="shared" si="123"/>
        <v>3.45</v>
      </c>
      <c r="IC38" s="90">
        <f t="shared" si="124"/>
        <v>1189.56</v>
      </c>
      <c r="ID38" s="90">
        <f t="shared" si="125"/>
        <v>3.64</v>
      </c>
      <c r="IE38" s="90">
        <f t="shared" si="126"/>
        <v>1255.07</v>
      </c>
      <c r="IF38" s="90">
        <f t="shared" si="127"/>
        <v>3.64</v>
      </c>
      <c r="IG38" s="92">
        <f t="shared" si="128"/>
        <v>15060.84</v>
      </c>
      <c r="IH38" s="90">
        <v>3.91</v>
      </c>
      <c r="II38" s="90">
        <f t="shared" si="129"/>
        <v>4.1100000000000003</v>
      </c>
      <c r="IJ38" s="90">
        <f t="shared" si="130"/>
        <v>1417.13</v>
      </c>
      <c r="IK38" s="90">
        <f t="shared" si="131"/>
        <v>4.1100000000000003</v>
      </c>
      <c r="IL38" s="90">
        <f t="shared" si="132"/>
        <v>1417.13</v>
      </c>
      <c r="IM38" s="90">
        <f t="shared" si="133"/>
        <v>4.1100000000000003</v>
      </c>
      <c r="IN38" s="90">
        <f t="shared" si="134"/>
        <v>1417.13</v>
      </c>
      <c r="IO38" s="90">
        <f t="shared" si="135"/>
        <v>4.1100000000000003</v>
      </c>
      <c r="IP38" s="93">
        <v>0.37052404126999999</v>
      </c>
      <c r="IQ38" s="90">
        <f t="shared" si="136"/>
        <v>102.20535154391679</v>
      </c>
      <c r="IR38" s="90">
        <f t="shared" si="137"/>
        <v>108.3376726365518</v>
      </c>
      <c r="IS38" s="90">
        <v>108693.96</v>
      </c>
      <c r="IT38" s="90">
        <v>3053.33</v>
      </c>
      <c r="IU38" s="94"/>
      <c r="IV38" s="94"/>
      <c r="IW38" s="94">
        <v>1.6976249999999999</v>
      </c>
      <c r="IX38" s="90">
        <f t="shared" si="138"/>
        <v>468.27287999999993</v>
      </c>
      <c r="IY38" s="93">
        <v>0.56339614052999998</v>
      </c>
      <c r="IZ38" s="90">
        <f t="shared" si="139"/>
        <v>194.25898925474397</v>
      </c>
      <c r="JA38" s="90">
        <f t="shared" si="140"/>
        <v>203.58</v>
      </c>
      <c r="JB38" s="90">
        <f t="shared" si="532"/>
        <v>213.65615985646249</v>
      </c>
      <c r="JC38" s="90">
        <f t="shared" si="141"/>
        <v>214.78</v>
      </c>
      <c r="JD38" s="90">
        <f t="shared" si="142"/>
        <v>227.14843881496043</v>
      </c>
      <c r="JE38" s="90">
        <f t="shared" si="143"/>
        <v>227.14843881496043</v>
      </c>
      <c r="JF38" s="93">
        <v>4.2278943710000003E-2</v>
      </c>
      <c r="JG38" s="90">
        <f t="shared" si="144"/>
        <v>11.662223832966399</v>
      </c>
      <c r="JH38" s="90">
        <f t="shared" si="145"/>
        <v>12.361957262944383</v>
      </c>
      <c r="JI38" s="20">
        <v>462.98</v>
      </c>
      <c r="JJ38" s="20"/>
      <c r="JK38" s="20">
        <v>6.0624999999999998E-2</v>
      </c>
      <c r="JL38" s="90">
        <f t="shared" si="146"/>
        <v>16.722799999999999</v>
      </c>
      <c r="JM38" s="93">
        <v>6.7347080040000007E-2</v>
      </c>
      <c r="JN38" s="90">
        <f t="shared" si="147"/>
        <v>23.221273197791998</v>
      </c>
      <c r="JO38" s="90">
        <f t="shared" si="148"/>
        <v>24.34</v>
      </c>
      <c r="JP38" s="90">
        <f t="shared" si="533"/>
        <v>25.54470444496658</v>
      </c>
      <c r="JQ38" s="90">
        <f t="shared" si="149"/>
        <v>25.68</v>
      </c>
      <c r="JR38" s="90">
        <f t="shared" si="150"/>
        <v>27.157839673622835</v>
      </c>
      <c r="JS38" s="90">
        <f t="shared" si="151"/>
        <v>27.157839673622835</v>
      </c>
      <c r="JT38" s="93">
        <v>7.3220517000000002E-3</v>
      </c>
      <c r="JU38" s="90">
        <f t="shared" si="152"/>
        <v>2.0197147409279999</v>
      </c>
      <c r="JV38" s="90">
        <f t="shared" si="153"/>
        <v>2.12</v>
      </c>
      <c r="JW38" s="90">
        <f t="shared" si="534"/>
        <v>2.2249290642288067</v>
      </c>
      <c r="JX38" s="90">
        <f t="shared" si="154"/>
        <v>2.2400000000000002</v>
      </c>
      <c r="JY38" s="90">
        <f t="shared" si="155"/>
        <v>2.3654322147937723</v>
      </c>
      <c r="JZ38" s="90">
        <f t="shared" si="156"/>
        <v>2.3654322147937723</v>
      </c>
      <c r="KA38" s="90">
        <v>8.3090999999999998E-3</v>
      </c>
      <c r="KB38" s="90">
        <f t="shared" si="157"/>
        <v>2.2919821439999999</v>
      </c>
      <c r="KC38" s="90" t="e">
        <f>KB38*#REF!</f>
        <v>#REF!</v>
      </c>
      <c r="KD38" s="90">
        <v>34406.519999999997</v>
      </c>
      <c r="KE38" s="90">
        <v>40292.97</v>
      </c>
      <c r="KF38" s="90"/>
      <c r="KG38" s="90">
        <f t="shared" si="546"/>
        <v>403.79021348279338</v>
      </c>
      <c r="KH38" s="90" t="e">
        <f>KG38/(BW38+#REF!)*(CB38+#REF!)</f>
        <v>#REF!</v>
      </c>
      <c r="KI38" s="90">
        <v>0.8</v>
      </c>
      <c r="KJ38" s="94"/>
      <c r="KK38" s="90">
        <f t="shared" si="159"/>
        <v>0</v>
      </c>
      <c r="KL38" s="93">
        <v>1.2690177</v>
      </c>
      <c r="KM38" s="90">
        <f t="shared" si="160"/>
        <v>437.55730295999996</v>
      </c>
      <c r="KN38" s="90">
        <f t="shared" si="161"/>
        <v>463.81074113759996</v>
      </c>
      <c r="KO38" s="90" t="e">
        <f>BW38+CN38+DC38+DS38+EG38+EV38+FK38+GB38+#REF!+#REF!+HJ38+HX38+IQ38+JG38+JU38+KK38+KM38</f>
        <v>#REF!</v>
      </c>
      <c r="KP38" s="90"/>
      <c r="KQ38" s="90">
        <v>0.50815001599999998</v>
      </c>
      <c r="KR38" s="90">
        <f t="shared" si="514"/>
        <v>175.21012551679996</v>
      </c>
      <c r="KS38" s="90">
        <v>0.71072749999999996</v>
      </c>
      <c r="KT38" s="90">
        <f t="shared" si="163"/>
        <v>124.52665448324144</v>
      </c>
      <c r="KU38" s="90">
        <f t="shared" si="164"/>
        <v>188.29694701601176</v>
      </c>
      <c r="KV38" s="90">
        <f t="shared" si="165"/>
        <v>197.34</v>
      </c>
      <c r="KW38" s="90">
        <f t="shared" si="535"/>
        <v>207.10731204477017</v>
      </c>
      <c r="KX38" s="90">
        <f t="shared" si="166"/>
        <v>208.19</v>
      </c>
      <c r="KY38" s="90">
        <f t="shared" si="167"/>
        <v>220.18603456009578</v>
      </c>
      <c r="KZ38" s="90">
        <f t="shared" si="168"/>
        <v>220.18603456009578</v>
      </c>
      <c r="LA38" s="90">
        <f t="shared" si="169"/>
        <v>1351.6200000000001</v>
      </c>
      <c r="LB38" s="90">
        <f t="shared" si="170"/>
        <v>3.92</v>
      </c>
      <c r="LC38" s="92">
        <f t="shared" si="171"/>
        <v>16219.440000000002</v>
      </c>
      <c r="LD38" s="92">
        <v>4.21</v>
      </c>
      <c r="LE38" s="92">
        <v>1451.6100000000004</v>
      </c>
      <c r="LF38" s="90">
        <f t="shared" si="172"/>
        <v>4.18</v>
      </c>
      <c r="LG38" s="90">
        <f t="shared" si="173"/>
        <v>1441.26</v>
      </c>
      <c r="LH38" s="90">
        <f t="shared" si="174"/>
        <v>1452.9915000000001</v>
      </c>
      <c r="LI38" s="90">
        <f t="shared" si="175"/>
        <v>4.21</v>
      </c>
      <c r="LJ38" s="90">
        <f t="shared" si="176"/>
        <v>1441.2600000000004</v>
      </c>
      <c r="LK38" s="90">
        <f t="shared" si="177"/>
        <v>4.18</v>
      </c>
      <c r="LL38" s="90">
        <f t="shared" si="178"/>
        <v>1441.2600000000004</v>
      </c>
      <c r="LM38" s="90">
        <f t="shared" si="179"/>
        <v>4.18</v>
      </c>
      <c r="LN38" s="95">
        <v>0.46</v>
      </c>
      <c r="LO38" s="95">
        <f t="shared" si="180"/>
        <v>158.61000000000001</v>
      </c>
      <c r="LP38" s="95"/>
      <c r="LQ38" s="95">
        <f t="shared" si="181"/>
        <v>0</v>
      </c>
      <c r="LR38" s="90"/>
      <c r="LS38" s="90"/>
      <c r="LT38" s="90">
        <f t="shared" si="182"/>
        <v>0</v>
      </c>
      <c r="LU38" s="90"/>
      <c r="LV38" s="90">
        <f t="shared" si="183"/>
        <v>0</v>
      </c>
      <c r="LW38" s="90">
        <f t="shared" si="184"/>
        <v>0</v>
      </c>
      <c r="LX38" s="90"/>
      <c r="LY38" s="90"/>
      <c r="LZ38" s="90">
        <f t="shared" si="185"/>
        <v>0</v>
      </c>
      <c r="MA38" s="90"/>
      <c r="MB38" s="90">
        <f t="shared" si="186"/>
        <v>0</v>
      </c>
      <c r="MC38" s="90">
        <f t="shared" si="187"/>
        <v>0</v>
      </c>
      <c r="MD38" s="90"/>
      <c r="ME38" s="90"/>
      <c r="MF38" s="90">
        <f t="shared" si="188"/>
        <v>0</v>
      </c>
      <c r="MG38" s="90"/>
      <c r="MH38" s="90">
        <f t="shared" si="189"/>
        <v>0</v>
      </c>
      <c r="MI38" s="90">
        <f t="shared" si="190"/>
        <v>0</v>
      </c>
      <c r="MJ38" s="90"/>
      <c r="MK38" s="90"/>
      <c r="ML38" s="90">
        <f t="shared" si="191"/>
        <v>0</v>
      </c>
      <c r="MM38" s="90"/>
      <c r="MN38" s="90">
        <f t="shared" si="192"/>
        <v>0</v>
      </c>
      <c r="MO38" s="90">
        <f t="shared" si="193"/>
        <v>0</v>
      </c>
      <c r="MP38" s="90">
        <f t="shared" si="194"/>
        <v>0</v>
      </c>
      <c r="MQ38" s="90">
        <f t="shared" si="195"/>
        <v>0</v>
      </c>
      <c r="MR38" s="90">
        <f t="shared" si="196"/>
        <v>0</v>
      </c>
      <c r="MS38" s="90">
        <f t="shared" si="197"/>
        <v>0</v>
      </c>
      <c r="MT38" s="95"/>
      <c r="MU38" s="95">
        <f t="shared" si="198"/>
        <v>0</v>
      </c>
      <c r="MV38" s="92">
        <f t="shared" si="199"/>
        <v>0</v>
      </c>
      <c r="MW38" s="95"/>
      <c r="MX38" s="95">
        <f t="shared" si="200"/>
        <v>0</v>
      </c>
      <c r="MY38" s="95"/>
      <c r="MZ38" s="95">
        <f t="shared" si="201"/>
        <v>0</v>
      </c>
      <c r="NA38" s="95"/>
      <c r="NB38" s="95">
        <f t="shared" si="202"/>
        <v>0</v>
      </c>
      <c r="NC38" s="92">
        <f t="shared" si="203"/>
        <v>0</v>
      </c>
      <c r="ND38" s="95"/>
      <c r="NE38" s="95">
        <f t="shared" si="204"/>
        <v>0</v>
      </c>
      <c r="NF38" s="95"/>
      <c r="NG38" s="95">
        <f t="shared" si="205"/>
        <v>0</v>
      </c>
      <c r="NH38" s="95"/>
      <c r="NI38" s="95"/>
      <c r="NJ38" s="95">
        <f t="shared" si="206"/>
        <v>0</v>
      </c>
      <c r="NK38" s="92">
        <f t="shared" si="207"/>
        <v>0</v>
      </c>
      <c r="NL38" s="95"/>
      <c r="NM38" s="95">
        <f t="shared" si="208"/>
        <v>0</v>
      </c>
      <c r="NN38" s="95"/>
      <c r="NO38" s="95">
        <f t="shared" si="209"/>
        <v>0</v>
      </c>
      <c r="NP38" s="95"/>
      <c r="NQ38" s="95">
        <f t="shared" si="210"/>
        <v>0</v>
      </c>
      <c r="NR38" s="92">
        <f t="shared" si="211"/>
        <v>0</v>
      </c>
      <c r="NS38" s="95"/>
      <c r="NT38" s="95">
        <f t="shared" si="212"/>
        <v>0</v>
      </c>
      <c r="NU38" s="95"/>
      <c r="NV38" s="95">
        <f t="shared" si="213"/>
        <v>0</v>
      </c>
      <c r="NW38" s="95"/>
      <c r="NX38" s="95">
        <f t="shared" si="214"/>
        <v>0</v>
      </c>
      <c r="NY38" s="92">
        <f t="shared" si="215"/>
        <v>0</v>
      </c>
      <c r="NZ38" s="95"/>
      <c r="OA38" s="95">
        <f t="shared" si="216"/>
        <v>0</v>
      </c>
      <c r="OB38" s="95"/>
      <c r="OC38" s="95">
        <f t="shared" si="217"/>
        <v>0</v>
      </c>
      <c r="OD38" s="90">
        <v>2299.8200000000002</v>
      </c>
      <c r="OE38" s="90">
        <f t="shared" si="218"/>
        <v>6.67</v>
      </c>
      <c r="OF38" s="92">
        <f t="shared" si="219"/>
        <v>27597.840000000004</v>
      </c>
      <c r="OG38" s="96">
        <v>361.56</v>
      </c>
      <c r="OH38" s="96">
        <v>1.05</v>
      </c>
      <c r="OI38" s="90">
        <v>2661.86</v>
      </c>
      <c r="OJ38" s="90">
        <f t="shared" si="220"/>
        <v>7.72</v>
      </c>
      <c r="OK38" s="90">
        <f t="shared" si="221"/>
        <v>2661.38</v>
      </c>
      <c r="OL38" s="90">
        <f t="shared" si="222"/>
        <v>7.72</v>
      </c>
      <c r="OM38" s="90">
        <f t="shared" si="223"/>
        <v>0</v>
      </c>
      <c r="ON38" s="90">
        <v>2299.8200000000002</v>
      </c>
      <c r="OO38" s="90">
        <f t="shared" si="224"/>
        <v>6.67</v>
      </c>
      <c r="OP38" s="90">
        <v>2300.3000000000002</v>
      </c>
      <c r="OQ38" s="90">
        <v>6.67</v>
      </c>
      <c r="OR38" s="90">
        <f t="shared" si="225"/>
        <v>0</v>
      </c>
      <c r="OS38" s="90">
        <f t="shared" si="226"/>
        <v>6.67</v>
      </c>
      <c r="OT38" s="90">
        <v>2299.8200000000002</v>
      </c>
      <c r="OU38" s="90">
        <f t="shared" si="227"/>
        <v>6.67</v>
      </c>
      <c r="OV38" s="97">
        <v>1955.02</v>
      </c>
      <c r="OW38" s="90">
        <f t="shared" si="228"/>
        <v>3158.37</v>
      </c>
      <c r="OX38" s="90">
        <f t="shared" si="229"/>
        <v>9.16</v>
      </c>
      <c r="OY38" s="90">
        <f>OU38-1+3.49</f>
        <v>9.16</v>
      </c>
      <c r="OZ38" s="90"/>
      <c r="PA38" s="90"/>
      <c r="PB38" s="95">
        <f t="shared" si="230"/>
        <v>0</v>
      </c>
      <c r="PC38" s="92">
        <f t="shared" si="231"/>
        <v>0</v>
      </c>
      <c r="PD38" s="90"/>
      <c r="PE38" s="95">
        <f t="shared" si="232"/>
        <v>0</v>
      </c>
      <c r="PF38" s="90">
        <f t="shared" si="233"/>
        <v>5496.4449999999997</v>
      </c>
      <c r="PG38" s="90">
        <f t="shared" si="234"/>
        <v>15.94</v>
      </c>
      <c r="PH38" s="90">
        <f t="shared" si="235"/>
        <v>7377.39</v>
      </c>
      <c r="PI38" s="90">
        <f t="shared" si="236"/>
        <v>21.4</v>
      </c>
      <c r="PJ38" s="90">
        <f t="shared" si="237"/>
        <v>7377.39</v>
      </c>
      <c r="PK38" s="90">
        <f t="shared" si="238"/>
        <v>21.4</v>
      </c>
      <c r="PL38" s="90"/>
      <c r="PM38" s="90">
        <f t="shared" si="239"/>
        <v>164.89</v>
      </c>
      <c r="PN38" s="90">
        <f t="shared" si="240"/>
        <v>0.48</v>
      </c>
      <c r="PO38" s="92">
        <f t="shared" si="241"/>
        <v>1978.6799999999998</v>
      </c>
      <c r="PP38" s="90">
        <f t="shared" si="242"/>
        <v>221.32</v>
      </c>
      <c r="PQ38" s="90">
        <f t="shared" si="243"/>
        <v>0.64</v>
      </c>
      <c r="PR38" s="90">
        <f t="shared" si="244"/>
        <v>221.32</v>
      </c>
      <c r="PS38" s="90">
        <f t="shared" si="245"/>
        <v>0.64</v>
      </c>
      <c r="PT38" s="90">
        <f t="shared" si="246"/>
        <v>5661.335</v>
      </c>
      <c r="PU38" s="90">
        <f t="shared" si="247"/>
        <v>16.420000000000002</v>
      </c>
      <c r="PV38" s="90">
        <f t="shared" si="248"/>
        <v>7598.71</v>
      </c>
      <c r="PW38" s="90">
        <f t="shared" si="249"/>
        <v>22.04</v>
      </c>
      <c r="PX38" s="90">
        <f t="shared" si="250"/>
        <v>7598.71</v>
      </c>
      <c r="PY38" s="90">
        <f t="shared" si="251"/>
        <v>22.04</v>
      </c>
      <c r="PZ38" s="90">
        <f t="shared" si="252"/>
        <v>57.19</v>
      </c>
      <c r="QA38" s="90">
        <f t="shared" si="253"/>
        <v>0.17</v>
      </c>
      <c r="QB38" s="92">
        <f t="shared" si="254"/>
        <v>686.28</v>
      </c>
      <c r="QC38" s="90">
        <f t="shared" si="255"/>
        <v>76.75</v>
      </c>
      <c r="QD38" s="90">
        <f t="shared" si="256"/>
        <v>0.22</v>
      </c>
      <c r="QE38" s="90">
        <f t="shared" si="257"/>
        <v>76.75</v>
      </c>
      <c r="QF38" s="90">
        <f t="shared" si="258"/>
        <v>0.22</v>
      </c>
      <c r="QG38" s="90">
        <f t="shared" si="259"/>
        <v>5718.5249999999996</v>
      </c>
      <c r="QH38" s="90">
        <f t="shared" si="260"/>
        <v>16.59</v>
      </c>
      <c r="QI38" s="92">
        <f t="shared" si="261"/>
        <v>68622.299999999988</v>
      </c>
      <c r="QJ38" s="90">
        <f t="shared" si="262"/>
        <v>223.69731204477017</v>
      </c>
      <c r="QK38" s="98">
        <f t="shared" si="263"/>
        <v>0.21869999999999998</v>
      </c>
      <c r="QL38" s="90">
        <f t="shared" si="264"/>
        <v>75.407759999999982</v>
      </c>
      <c r="QM38" s="90">
        <f t="shared" si="265"/>
        <v>0.14579999999999999</v>
      </c>
      <c r="QN38" s="90">
        <f t="shared" si="266"/>
        <v>50.27183999999999</v>
      </c>
      <c r="QO38" s="90">
        <v>0.21869999999999998</v>
      </c>
      <c r="QP38" s="90">
        <v>0.14579999999999999</v>
      </c>
      <c r="QQ38" s="97">
        <f t="shared" si="267"/>
        <v>125.67959999999997</v>
      </c>
      <c r="QR38" s="97">
        <v>125.67959999999997</v>
      </c>
      <c r="QS38" s="97">
        <f t="shared" si="268"/>
        <v>0</v>
      </c>
      <c r="QT38" s="90"/>
      <c r="QU38" s="90">
        <f t="shared" si="269"/>
        <v>0.14579999999999999</v>
      </c>
      <c r="QV38" s="90">
        <f t="shared" si="270"/>
        <v>50.27183999999999</v>
      </c>
      <c r="QW38" s="90">
        <f t="shared" si="271"/>
        <v>125.67959999999997</v>
      </c>
      <c r="QX38" s="90">
        <f t="shared" si="272"/>
        <v>0.36449999999999994</v>
      </c>
      <c r="QY38" s="90"/>
      <c r="QZ38" s="90"/>
      <c r="RA38" s="90"/>
      <c r="RB38" s="90">
        <v>1283.2399999999996</v>
      </c>
      <c r="RC38" s="97">
        <f t="shared" si="273"/>
        <v>5718.5249999999996</v>
      </c>
      <c r="RD38" s="97">
        <f t="shared" si="274"/>
        <v>16.59</v>
      </c>
      <c r="RE38" s="90">
        <f t="shared" si="275"/>
        <v>7675.46</v>
      </c>
      <c r="RF38" s="90">
        <f t="shared" si="276"/>
        <v>22.26</v>
      </c>
      <c r="RG38" s="90">
        <f t="shared" si="277"/>
        <v>134.17721518987344</v>
      </c>
      <c r="RH38" s="90">
        <f t="shared" si="278"/>
        <v>7675.46</v>
      </c>
      <c r="RI38" s="90">
        <f t="shared" si="279"/>
        <v>22.26</v>
      </c>
      <c r="RJ38" s="90">
        <v>18.3</v>
      </c>
      <c r="RK38" s="90">
        <v>0</v>
      </c>
      <c r="RL38" s="90">
        <f t="shared" si="280"/>
        <v>3.9600000000000009</v>
      </c>
      <c r="RM38" s="90">
        <f t="shared" si="281"/>
        <v>127.78415614236509</v>
      </c>
      <c r="RN38" s="90">
        <f t="shared" si="282"/>
        <v>3322.1149999999998</v>
      </c>
      <c r="RO38" s="90"/>
      <c r="RP38" s="90"/>
      <c r="RQ38" s="99">
        <v>578</v>
      </c>
      <c r="RR38" s="90">
        <f t="shared" si="283"/>
        <v>3418.7049999999999</v>
      </c>
      <c r="RS38" s="90">
        <f t="shared" si="284"/>
        <v>9.9150377030162424</v>
      </c>
      <c r="RT38" s="90">
        <f t="shared" si="549"/>
        <v>14.579999999999998</v>
      </c>
      <c r="RU38" s="90">
        <f t="shared" si="285"/>
        <v>5027.1839999999984</v>
      </c>
      <c r="RV38" s="90">
        <f t="shared" si="286"/>
        <v>0.64877410685838222</v>
      </c>
      <c r="RW38" s="90">
        <v>10.43</v>
      </c>
      <c r="RX38" s="90">
        <f t="shared" si="287"/>
        <v>10.951499999999999</v>
      </c>
      <c r="RY38" s="90">
        <f t="shared" si="288"/>
        <v>3776.0771999999993</v>
      </c>
      <c r="RZ38" s="90">
        <f t="shared" si="289"/>
        <v>996.20895879203863</v>
      </c>
      <c r="SA38" s="90">
        <f t="shared" si="290"/>
        <v>445.70098159857474</v>
      </c>
      <c r="SB38" s="90">
        <f t="shared" si="291"/>
        <v>673.94514423693613</v>
      </c>
      <c r="SC38" s="90">
        <f t="shared" si="292"/>
        <v>1224.4531214304</v>
      </c>
      <c r="SD38" s="90">
        <f t="shared" si="293"/>
        <v>1224.4531214304</v>
      </c>
      <c r="SE38" s="90">
        <f t="shared" si="294"/>
        <v>1242.9006167438274</v>
      </c>
      <c r="SF38" s="90">
        <f t="shared" si="295"/>
        <v>1224.3831363865474</v>
      </c>
      <c r="SG38" s="90">
        <f t="shared" si="296"/>
        <v>6.9985043852511808E-2</v>
      </c>
      <c r="SH38" s="90">
        <f t="shared" si="297"/>
        <v>1224.4531208563074</v>
      </c>
      <c r="SI38" s="90">
        <f t="shared" si="298"/>
        <v>3.5511981480000006</v>
      </c>
      <c r="SJ38" s="90">
        <f t="shared" si="299"/>
        <v>3.5509951751349988</v>
      </c>
      <c r="SK38" s="90"/>
      <c r="SL38" s="90"/>
      <c r="SM38" s="90"/>
      <c r="SN38" s="90">
        <f t="shared" si="300"/>
        <v>1310.9299999999996</v>
      </c>
      <c r="SO38" s="90" t="e">
        <f>RU38-#REF!-#REF!-HZ38-LT38-LZ38-MF38-ML38-QL38-QN38-SD38</f>
        <v>#REF!</v>
      </c>
      <c r="SP38" s="90">
        <f t="shared" si="301"/>
        <v>1283.2399999999996</v>
      </c>
      <c r="SQ38" s="90">
        <f t="shared" si="302"/>
        <v>1351.6200000000001</v>
      </c>
      <c r="SR38" s="90">
        <f t="shared" si="303"/>
        <v>3.7216937354988393</v>
      </c>
      <c r="SS38" s="90">
        <f t="shared" si="304"/>
        <v>3.920011600928075</v>
      </c>
      <c r="ST38" s="90">
        <f t="shared" si="305"/>
        <v>1356.7860000000001</v>
      </c>
      <c r="SU38" s="90">
        <v>3.7216937354988393</v>
      </c>
      <c r="SV38" s="90">
        <f t="shared" si="306"/>
        <v>3.93</v>
      </c>
      <c r="SW38" s="90">
        <v>3.92</v>
      </c>
      <c r="SX38" s="90">
        <f t="shared" si="307"/>
        <v>1351.62</v>
      </c>
      <c r="SY38" s="90">
        <v>3.7216937354988393</v>
      </c>
      <c r="SZ38" s="90">
        <f t="shared" si="308"/>
        <v>1283.2399999999996</v>
      </c>
      <c r="TA38" s="90">
        <f t="shared" si="309"/>
        <v>0</v>
      </c>
      <c r="TB38" s="90">
        <v>0</v>
      </c>
      <c r="TC38" s="90">
        <f t="shared" si="310"/>
        <v>1973.1693999999982</v>
      </c>
      <c r="TD38" s="90" t="e">
        <f>#REF!+#REF!</f>
        <v>#REF!</v>
      </c>
      <c r="TE38" s="90" t="e">
        <f t="shared" si="311"/>
        <v>#REF!</v>
      </c>
      <c r="TF38" s="90">
        <v>1932.9210666666661</v>
      </c>
      <c r="TG38" s="90">
        <f t="shared" si="312"/>
        <v>39.249993634607343</v>
      </c>
      <c r="TH38" s="95"/>
      <c r="TI38" s="95"/>
      <c r="TJ38" s="95"/>
      <c r="TK38" s="95"/>
      <c r="TL38" s="95"/>
      <c r="TM38" s="95">
        <f t="shared" si="313"/>
        <v>0</v>
      </c>
      <c r="TN38" s="95">
        <f t="shared" si="314"/>
        <v>5027.1839999999984</v>
      </c>
      <c r="TO38" s="95">
        <f t="shared" si="315"/>
        <v>39.249993634607343</v>
      </c>
      <c r="TP38" s="95"/>
      <c r="TQ38" s="95">
        <f t="shared" si="316"/>
        <v>14.579999999999998</v>
      </c>
      <c r="TR38" s="95"/>
      <c r="TS38" s="95"/>
      <c r="TT38" s="95"/>
      <c r="TU38" s="95"/>
      <c r="TV38" s="95"/>
      <c r="TW38" s="95"/>
      <c r="TX38" s="95"/>
      <c r="TY38" s="95"/>
      <c r="TZ38" s="95">
        <f t="shared" si="317"/>
        <v>2.5</v>
      </c>
      <c r="UA38" s="95">
        <f t="shared" si="318"/>
        <v>0.64151999999999998</v>
      </c>
      <c r="UB38" s="90">
        <v>0</v>
      </c>
      <c r="UC38" s="90">
        <f t="shared" si="319"/>
        <v>0</v>
      </c>
      <c r="UD38" s="90">
        <f t="shared" si="320"/>
        <v>0</v>
      </c>
      <c r="UE38" s="90">
        <f t="shared" si="321"/>
        <v>0</v>
      </c>
      <c r="UF38" s="90">
        <f t="shared" si="322"/>
        <v>5027.1839999999984</v>
      </c>
      <c r="UG38" s="91">
        <f t="shared" si="323"/>
        <v>0</v>
      </c>
      <c r="UH38" s="95">
        <f t="shared" si="324"/>
        <v>39.249993634607343</v>
      </c>
      <c r="UI38" s="95">
        <f t="shared" si="325"/>
        <v>5027.1839999999984</v>
      </c>
      <c r="UJ38" s="101">
        <f t="shared" si="326"/>
        <v>0</v>
      </c>
      <c r="UK38" s="101">
        <f t="shared" si="327"/>
        <v>39.249993634607343</v>
      </c>
      <c r="UL38" s="90" t="e">
        <f>(#REF!+#REF!+HZ38+LT38+LZ38+MF38+ML38+QL38+QN38+SN38+TC38+TM38+UC38)/I38</f>
        <v>#REF!</v>
      </c>
      <c r="UN38" s="90" t="e">
        <f>#REF!/I38</f>
        <v>#REF!</v>
      </c>
      <c r="UO38" s="90" t="e">
        <f>#REF!/I38</f>
        <v>#REF!</v>
      </c>
      <c r="UP38" s="90">
        <v>1.1499999999999999</v>
      </c>
      <c r="UQ38" s="90" t="e">
        <f t="shared" si="328"/>
        <v>#REF!</v>
      </c>
      <c r="UR38" s="90">
        <f t="shared" si="329"/>
        <v>3418.7049999999999</v>
      </c>
      <c r="US38" s="90">
        <f t="shared" si="330"/>
        <v>4231.9400000000005</v>
      </c>
      <c r="UT38" s="90">
        <f t="shared" si="331"/>
        <v>4231.9400000000005</v>
      </c>
      <c r="UU38" s="90">
        <f t="shared" si="516"/>
        <v>4390.5500000000011</v>
      </c>
      <c r="UV38" s="90">
        <f t="shared" si="333"/>
        <v>4358.4800000000005</v>
      </c>
      <c r="UW38" s="90">
        <f t="shared" si="334"/>
        <v>5.63</v>
      </c>
      <c r="UX38" s="90">
        <f t="shared" si="335"/>
        <v>3.92</v>
      </c>
      <c r="UY38" s="90">
        <f t="shared" si="336"/>
        <v>3.8020011600928068</v>
      </c>
      <c r="UZ38" s="100">
        <f t="shared" si="337"/>
        <v>3.5511981480000006</v>
      </c>
      <c r="VA38" s="90">
        <f t="shared" si="338"/>
        <v>0.66</v>
      </c>
      <c r="VB38" s="90">
        <f t="shared" si="339"/>
        <v>1.05</v>
      </c>
      <c r="VC38" s="90">
        <f t="shared" si="340"/>
        <v>0</v>
      </c>
      <c r="VD38" s="90">
        <f t="shared" si="341"/>
        <v>0</v>
      </c>
      <c r="VE38" s="90">
        <f t="shared" si="342"/>
        <v>0</v>
      </c>
      <c r="VF38" s="90">
        <f t="shared" si="343"/>
        <v>0</v>
      </c>
      <c r="VG38" s="90">
        <f t="shared" si="344"/>
        <v>0</v>
      </c>
      <c r="VH38" s="90">
        <f t="shared" si="345"/>
        <v>0</v>
      </c>
      <c r="VI38" s="90">
        <f t="shared" si="346"/>
        <v>0</v>
      </c>
      <c r="VJ38" s="90">
        <f t="shared" si="347"/>
        <v>0</v>
      </c>
      <c r="VK38" s="90">
        <f t="shared" si="348"/>
        <v>0.75</v>
      </c>
      <c r="VL38" s="90">
        <f t="shared" si="349"/>
        <v>3.64</v>
      </c>
      <c r="VM38" s="90">
        <f t="shared" si="350"/>
        <v>6.67</v>
      </c>
      <c r="VN38" s="90">
        <f t="shared" si="351"/>
        <v>0</v>
      </c>
      <c r="VO38" s="90">
        <f t="shared" si="352"/>
        <v>6.67</v>
      </c>
      <c r="VP38" s="97">
        <v>0</v>
      </c>
      <c r="VQ38" s="97">
        <v>6.67</v>
      </c>
      <c r="VR38" s="90">
        <f t="shared" si="353"/>
        <v>0.48</v>
      </c>
      <c r="VS38" s="90">
        <f t="shared" si="354"/>
        <v>0.17</v>
      </c>
      <c r="VT38" s="90">
        <v>0.11989898989898991</v>
      </c>
      <c r="VU38" s="90">
        <f t="shared" si="355"/>
        <v>0.16589999999999999</v>
      </c>
      <c r="VV38" s="90">
        <v>0.38175323599898991</v>
      </c>
      <c r="VW38" s="90">
        <f t="shared" si="356"/>
        <v>0.65</v>
      </c>
      <c r="VX38" s="90">
        <f t="shared" si="357"/>
        <v>16.59</v>
      </c>
      <c r="VY38" s="90">
        <f t="shared" si="358"/>
        <v>16.59</v>
      </c>
      <c r="VZ38" s="90">
        <f t="shared" si="359"/>
        <v>0</v>
      </c>
      <c r="WA38" s="90"/>
      <c r="WB38" s="90">
        <f t="shared" si="360"/>
        <v>16.59</v>
      </c>
      <c r="WC38" s="90">
        <f t="shared" si="361"/>
        <v>0</v>
      </c>
      <c r="WD38" s="90"/>
      <c r="WE38" s="90">
        <v>16.59</v>
      </c>
      <c r="WF38" s="90"/>
      <c r="WG38" s="90">
        <f t="shared" si="362"/>
        <v>5720.2319999999991</v>
      </c>
      <c r="WH38" s="90">
        <f t="shared" si="363"/>
        <v>5720.2319999999991</v>
      </c>
      <c r="WI38" s="90">
        <f t="shared" si="364"/>
        <v>5718.5249999999996</v>
      </c>
      <c r="WJ38" s="90">
        <f t="shared" si="365"/>
        <v>3418.7049999999999</v>
      </c>
      <c r="WK38" s="97">
        <v>2299.8200000000002</v>
      </c>
      <c r="WL38" s="97">
        <v>6.67</v>
      </c>
      <c r="WM38" s="90">
        <f t="shared" si="366"/>
        <v>2299.8200000000002</v>
      </c>
      <c r="WN38" s="90">
        <f t="shared" si="367"/>
        <v>6.67</v>
      </c>
      <c r="WO38" s="90"/>
      <c r="WP38" s="97">
        <v>16.59</v>
      </c>
      <c r="WQ38" s="90">
        <f t="shared" si="368"/>
        <v>16.59</v>
      </c>
      <c r="WR38" s="91">
        <f t="shared" si="369"/>
        <v>113.78600823045268</v>
      </c>
      <c r="WS38" s="91">
        <f t="shared" si="370"/>
        <v>147.07446808510639</v>
      </c>
      <c r="WT38" s="90">
        <f t="shared" si="371"/>
        <v>5720.23</v>
      </c>
      <c r="WU38" s="90">
        <f t="shared" si="372"/>
        <v>5718.5249999999996</v>
      </c>
      <c r="WV38" s="90">
        <f t="shared" si="373"/>
        <v>1.7049999999999272</v>
      </c>
      <c r="WW38" s="90">
        <v>3.3</v>
      </c>
      <c r="WX38" s="90"/>
      <c r="WY38" s="90"/>
      <c r="WZ38" s="90">
        <f t="shared" si="374"/>
        <v>5.5220434343434333</v>
      </c>
      <c r="XA38" s="90">
        <v>0</v>
      </c>
      <c r="XB38" s="90">
        <f t="shared" si="375"/>
        <v>5.5220434343434333</v>
      </c>
      <c r="XC38" s="90">
        <f t="shared" si="376"/>
        <v>0.46229999999999999</v>
      </c>
      <c r="XD38" s="90">
        <f t="shared" si="377"/>
        <v>0.15565656565656566</v>
      </c>
      <c r="XE38" s="90"/>
      <c r="XF38" s="90">
        <f t="shared" si="378"/>
        <v>15.41</v>
      </c>
      <c r="XG38" s="90">
        <v>5.6059195668986845</v>
      </c>
      <c r="XH38" s="20">
        <v>14.579999999999998</v>
      </c>
      <c r="XI38" s="20">
        <v>0</v>
      </c>
      <c r="XJ38" s="20"/>
      <c r="XK38" s="20"/>
      <c r="XL38" s="20"/>
      <c r="XM38" s="20">
        <f t="shared" si="379"/>
        <v>14.579999999999998</v>
      </c>
      <c r="XN38" s="91">
        <f t="shared" si="380"/>
        <v>113.78600823045268</v>
      </c>
      <c r="XO38" s="20">
        <f t="shared" si="381"/>
        <v>14.579999999999998</v>
      </c>
      <c r="XP38" s="90">
        <f t="shared" si="382"/>
        <v>11.279999999999998</v>
      </c>
      <c r="XQ38" s="91">
        <f t="shared" si="383"/>
        <v>113.78600823045268</v>
      </c>
      <c r="XR38" s="102"/>
      <c r="XS38" s="90">
        <f t="shared" si="384"/>
        <v>3.64</v>
      </c>
      <c r="XT38" s="90">
        <f t="shared" si="385"/>
        <v>5.63</v>
      </c>
      <c r="XU38" s="90">
        <f t="shared" si="386"/>
        <v>3.92</v>
      </c>
      <c r="XV38" s="90">
        <f t="shared" si="387"/>
        <v>0.66</v>
      </c>
      <c r="XW38" s="90">
        <f t="shared" si="388"/>
        <v>0.66</v>
      </c>
      <c r="XX38" s="90">
        <f t="shared" si="389"/>
        <v>0</v>
      </c>
      <c r="XY38" s="90">
        <f t="shared" si="390"/>
        <v>1.05</v>
      </c>
      <c r="XZ38" s="90">
        <f t="shared" si="391"/>
        <v>0</v>
      </c>
      <c r="YA38" s="90">
        <f t="shared" si="392"/>
        <v>0</v>
      </c>
      <c r="YB38" s="90">
        <f t="shared" si="537"/>
        <v>0</v>
      </c>
      <c r="YC38" s="90">
        <f t="shared" si="537"/>
        <v>0</v>
      </c>
      <c r="YD38" s="90">
        <f t="shared" si="394"/>
        <v>1.05</v>
      </c>
      <c r="YE38" s="90">
        <f t="shared" si="395"/>
        <v>6.67</v>
      </c>
      <c r="YF38" s="90">
        <f t="shared" si="396"/>
        <v>0.65</v>
      </c>
      <c r="YG38" s="90">
        <f t="shared" si="397"/>
        <v>16.59</v>
      </c>
      <c r="YI38" s="103" t="s">
        <v>442</v>
      </c>
      <c r="YK38" s="90">
        <f t="shared" si="398"/>
        <v>1.07</v>
      </c>
      <c r="YL38" s="90">
        <f t="shared" si="538"/>
        <v>0.66</v>
      </c>
      <c r="YM38" s="90">
        <f t="shared" si="538"/>
        <v>1.05</v>
      </c>
      <c r="YN38" s="90">
        <f t="shared" si="400"/>
        <v>3.64</v>
      </c>
      <c r="YO38" s="90">
        <f t="shared" si="401"/>
        <v>10.17</v>
      </c>
      <c r="YP38" s="90">
        <f t="shared" si="402"/>
        <v>0</v>
      </c>
      <c r="YQ38" s="90">
        <f t="shared" si="403"/>
        <v>16.59</v>
      </c>
      <c r="YR38" s="90">
        <f t="shared" si="404"/>
        <v>0</v>
      </c>
      <c r="YS38" s="104">
        <f t="shared" si="405"/>
        <v>16.59</v>
      </c>
      <c r="YT38" s="104">
        <f t="shared" si="406"/>
        <v>0</v>
      </c>
      <c r="YY38" s="90">
        <f t="shared" si="407"/>
        <v>7.3</v>
      </c>
      <c r="YZ38" s="90">
        <f t="shared" si="408"/>
        <v>4.18</v>
      </c>
      <c r="ZA38" s="90">
        <f t="shared" si="409"/>
        <v>0.7</v>
      </c>
      <c r="ZB38" s="90">
        <f t="shared" si="410"/>
        <v>2.42</v>
      </c>
      <c r="ZC38" s="90">
        <f t="shared" si="411"/>
        <v>0</v>
      </c>
      <c r="ZD38" s="90">
        <f t="shared" si="412"/>
        <v>0</v>
      </c>
      <c r="ZE38" s="90">
        <f t="shared" si="413"/>
        <v>0</v>
      </c>
      <c r="ZF38" s="90">
        <f t="shared" si="414"/>
        <v>0</v>
      </c>
      <c r="ZG38" s="90">
        <f t="shared" si="415"/>
        <v>0</v>
      </c>
      <c r="ZH38" s="90">
        <f t="shared" si="416"/>
        <v>0</v>
      </c>
      <c r="ZI38" s="90">
        <f t="shared" si="417"/>
        <v>0</v>
      </c>
      <c r="ZJ38" s="90">
        <f t="shared" si="418"/>
        <v>0</v>
      </c>
      <c r="ZK38" s="90">
        <f t="shared" si="419"/>
        <v>0</v>
      </c>
      <c r="ZL38" s="90">
        <f t="shared" si="420"/>
        <v>0.03</v>
      </c>
      <c r="ZM38" s="90">
        <f t="shared" si="421"/>
        <v>4.1100000000000003</v>
      </c>
      <c r="ZN38" s="90">
        <f t="shared" si="422"/>
        <v>11.58</v>
      </c>
      <c r="ZO38" s="90">
        <f t="shared" si="423"/>
        <v>7.72</v>
      </c>
      <c r="ZP38" s="90">
        <f t="shared" si="424"/>
        <v>9.16</v>
      </c>
      <c r="ZQ38" s="90">
        <f t="shared" si="425"/>
        <v>0</v>
      </c>
      <c r="ZR38" s="90">
        <f t="shared" si="426"/>
        <v>9.16</v>
      </c>
      <c r="ZS38" s="97">
        <v>227</v>
      </c>
      <c r="ZT38" s="97">
        <v>230.38</v>
      </c>
      <c r="ZU38" s="90">
        <f t="shared" si="427"/>
        <v>0.64</v>
      </c>
      <c r="ZV38" s="90">
        <f t="shared" si="428"/>
        <v>0.22</v>
      </c>
      <c r="ZW38" s="90">
        <v>0.11989898989898991</v>
      </c>
      <c r="ZX38" s="90">
        <f t="shared" si="429"/>
        <v>0.21429999999999999</v>
      </c>
      <c r="ZY38" s="90">
        <v>0.38175323599898991</v>
      </c>
      <c r="ZZ38" s="90">
        <f t="shared" si="430"/>
        <v>0.86</v>
      </c>
      <c r="AAA38" s="90">
        <f t="shared" si="431"/>
        <v>21.43</v>
      </c>
      <c r="AAB38" s="90">
        <f t="shared" si="432"/>
        <v>21.43</v>
      </c>
      <c r="AAC38" s="90">
        <f t="shared" si="433"/>
        <v>0</v>
      </c>
      <c r="AAD38" s="90"/>
      <c r="AAE38" s="90">
        <f t="shared" si="434"/>
        <v>21.43</v>
      </c>
      <c r="AAF38" s="90">
        <v>16.59</v>
      </c>
      <c r="AAG38" s="90">
        <f t="shared" si="435"/>
        <v>129.17420132610007</v>
      </c>
      <c r="AAH38" s="90">
        <f t="shared" si="436"/>
        <v>0</v>
      </c>
      <c r="AAI38" s="90">
        <v>0</v>
      </c>
      <c r="AAJ38" s="90"/>
      <c r="AAK38" s="1">
        <v>17.43</v>
      </c>
      <c r="AAL38" s="104">
        <f t="shared" si="437"/>
        <v>4</v>
      </c>
      <c r="AAM38" s="103" t="s">
        <v>518</v>
      </c>
      <c r="AAN38" s="105">
        <v>7.17</v>
      </c>
      <c r="AAO38" s="90">
        <f t="shared" si="438"/>
        <v>8.1300000000000008</v>
      </c>
      <c r="AAP38" s="90">
        <v>4.21</v>
      </c>
      <c r="AAQ38" s="90">
        <f t="shared" si="439"/>
        <v>4.18</v>
      </c>
      <c r="AAR38" s="90">
        <v>0.7</v>
      </c>
      <c r="AAS38" s="90">
        <f t="shared" si="440"/>
        <v>1.07</v>
      </c>
      <c r="AAT38" s="90">
        <f t="shared" si="441"/>
        <v>152.85714285714286</v>
      </c>
      <c r="AAU38" s="90">
        <v>2.2599999999999998</v>
      </c>
      <c r="AAV38" s="90">
        <f t="shared" si="442"/>
        <v>2.42</v>
      </c>
      <c r="AAW38" s="90">
        <f t="shared" si="443"/>
        <v>107.07964601769913</v>
      </c>
      <c r="AAX38" s="90">
        <f t="shared" si="444"/>
        <v>0.46</v>
      </c>
      <c r="AAY38" s="90">
        <f t="shared" si="445"/>
        <v>0</v>
      </c>
      <c r="AAZ38" s="90">
        <f t="shared" si="446"/>
        <v>0</v>
      </c>
      <c r="ABA38" s="90">
        <f t="shared" si="447"/>
        <v>0</v>
      </c>
      <c r="ABB38" s="90">
        <f t="shared" si="448"/>
        <v>0</v>
      </c>
      <c r="ABC38" s="90">
        <v>0</v>
      </c>
      <c r="ABD38" s="90">
        <f t="shared" si="449"/>
        <v>0</v>
      </c>
      <c r="ABE38" s="90"/>
      <c r="ABF38" s="90">
        <v>0</v>
      </c>
      <c r="ABG38" s="90">
        <f t="shared" si="450"/>
        <v>0</v>
      </c>
      <c r="ABH38" s="90"/>
      <c r="ABI38" s="90">
        <f t="shared" si="451"/>
        <v>0</v>
      </c>
      <c r="ABJ38" s="90">
        <f t="shared" si="452"/>
        <v>0</v>
      </c>
      <c r="ABK38" s="90">
        <v>0</v>
      </c>
      <c r="ABL38" s="90">
        <f t="shared" si="453"/>
        <v>0</v>
      </c>
      <c r="ABM38" s="90">
        <f t="shared" si="454"/>
        <v>0</v>
      </c>
      <c r="ABN38" s="90">
        <f t="shared" si="455"/>
        <v>0.02</v>
      </c>
      <c r="ABO38" s="90">
        <v>3.91</v>
      </c>
      <c r="ABP38" s="90">
        <f t="shared" si="456"/>
        <v>4.1100000000000003</v>
      </c>
      <c r="ABQ38" s="90">
        <f t="shared" si="457"/>
        <v>105.1150895140665</v>
      </c>
      <c r="ABR38" s="90">
        <f t="shared" si="458"/>
        <v>11.58</v>
      </c>
      <c r="ABS38" s="90">
        <f t="shared" si="459"/>
        <v>7.72</v>
      </c>
      <c r="ABT38" s="90">
        <v>5.67</v>
      </c>
      <c r="ABU38" s="90">
        <f t="shared" si="460"/>
        <v>9.16</v>
      </c>
      <c r="ABV38" s="90">
        <f t="shared" si="461"/>
        <v>161.55202821869489</v>
      </c>
      <c r="ABW38" s="90">
        <f t="shared" si="462"/>
        <v>0.01</v>
      </c>
      <c r="ABX38" s="90">
        <f t="shared" si="463"/>
        <v>9.17</v>
      </c>
      <c r="ABY38" s="97">
        <v>227</v>
      </c>
      <c r="ABZ38" s="97">
        <v>230.38</v>
      </c>
      <c r="ACA38" s="90">
        <f t="shared" si="464"/>
        <v>0.64</v>
      </c>
      <c r="ACB38" s="90">
        <f t="shared" si="465"/>
        <v>0.22</v>
      </c>
      <c r="ACC38" s="90">
        <v>0.11989898989898991</v>
      </c>
      <c r="ACD38" s="90">
        <f t="shared" si="466"/>
        <v>0.21810000000000002</v>
      </c>
      <c r="ACE38" s="90">
        <v>0.38175323599898991</v>
      </c>
      <c r="ACF38" s="90">
        <v>0.67</v>
      </c>
      <c r="ACG38" s="90">
        <f t="shared" si="467"/>
        <v>0.86</v>
      </c>
      <c r="ACH38" s="90">
        <f t="shared" si="468"/>
        <v>128.35820895522389</v>
      </c>
      <c r="ACI38" s="90">
        <f t="shared" si="469"/>
        <v>22.26</v>
      </c>
      <c r="ACJ38" s="90">
        <f t="shared" si="470"/>
        <v>21.810000000000002</v>
      </c>
      <c r="ACK38" s="90">
        <f t="shared" si="471"/>
        <v>-0.44999999999999929</v>
      </c>
      <c r="ACL38" s="90"/>
      <c r="ACM38" s="90">
        <f t="shared" si="472"/>
        <v>22.26</v>
      </c>
      <c r="ACN38" s="90">
        <f t="shared" si="473"/>
        <v>0</v>
      </c>
      <c r="ACO38" s="90">
        <f t="shared" si="474"/>
        <v>22.26</v>
      </c>
      <c r="ACP38" s="90">
        <v>17.420000000000002</v>
      </c>
      <c r="ACQ38" s="90">
        <f t="shared" si="475"/>
        <v>127.78415614236509</v>
      </c>
      <c r="ACR38" s="90">
        <f t="shared" si="476"/>
        <v>0</v>
      </c>
      <c r="ACS38" s="90">
        <v>0</v>
      </c>
      <c r="ACT38" s="90"/>
      <c r="ACU38" s="90">
        <f t="shared" si="477"/>
        <v>18.308420000000002</v>
      </c>
      <c r="ACV38" s="90">
        <f t="shared" si="478"/>
        <v>-3.9515799999999999</v>
      </c>
      <c r="ACX38" s="106" t="s">
        <v>519</v>
      </c>
      <c r="ACY38" s="107">
        <v>50000</v>
      </c>
      <c r="ACZ38" s="107">
        <v>50000</v>
      </c>
      <c r="ADB38" s="90">
        <f t="shared" si="479"/>
        <v>4.1100000000000003</v>
      </c>
      <c r="ADC38" s="90">
        <f t="shared" si="480"/>
        <v>8.129999999999999</v>
      </c>
      <c r="ADD38" s="90">
        <f t="shared" si="481"/>
        <v>4.18</v>
      </c>
      <c r="ADE38" s="90">
        <f t="shared" si="517"/>
        <v>1.53</v>
      </c>
      <c r="ADF38" s="90">
        <f t="shared" si="483"/>
        <v>1.07</v>
      </c>
      <c r="ADG38" s="90">
        <f t="shared" si="539"/>
        <v>0.46</v>
      </c>
      <c r="ADH38" s="90">
        <f t="shared" si="539"/>
        <v>0</v>
      </c>
      <c r="ADI38" s="90">
        <f t="shared" si="539"/>
        <v>0</v>
      </c>
      <c r="ADJ38" s="90">
        <f t="shared" si="485"/>
        <v>2.42</v>
      </c>
      <c r="ADK38" s="90">
        <f t="shared" si="486"/>
        <v>0</v>
      </c>
      <c r="ADL38" s="90">
        <f t="shared" si="487"/>
        <v>0</v>
      </c>
      <c r="ADM38" s="90">
        <f t="shared" si="540"/>
        <v>0</v>
      </c>
      <c r="ADN38" s="90">
        <f t="shared" si="540"/>
        <v>0</v>
      </c>
      <c r="ADO38" s="90">
        <f t="shared" si="489"/>
        <v>2.42</v>
      </c>
      <c r="ADP38" s="90">
        <f t="shared" si="490"/>
        <v>9.16</v>
      </c>
      <c r="ADQ38" s="90">
        <f t="shared" si="491"/>
        <v>0.86</v>
      </c>
      <c r="ADR38" s="90">
        <f t="shared" si="492"/>
        <v>22.259999999999998</v>
      </c>
      <c r="ADU38" s="90">
        <f t="shared" si="493"/>
        <v>1.1499999999999999</v>
      </c>
      <c r="ADV38" s="90">
        <f t="shared" si="494"/>
        <v>1.07</v>
      </c>
      <c r="ADW38" s="90">
        <f t="shared" si="495"/>
        <v>2.42</v>
      </c>
      <c r="ADX38" s="90">
        <f t="shared" si="496"/>
        <v>4.1100000000000003</v>
      </c>
      <c r="ADY38" s="90">
        <f t="shared" si="497"/>
        <v>13.049999999999999</v>
      </c>
      <c r="ADZ38" s="90">
        <f t="shared" si="498"/>
        <v>0</v>
      </c>
      <c r="AEA38" s="90">
        <f t="shared" si="499"/>
        <v>22.26</v>
      </c>
      <c r="AEB38" s="90">
        <f t="shared" si="500"/>
        <v>0</v>
      </c>
      <c r="AEC38" s="104">
        <f t="shared" si="501"/>
        <v>21.799999999999997</v>
      </c>
      <c r="AED38" s="104">
        <f t="shared" si="502"/>
        <v>0.46000000000000441</v>
      </c>
      <c r="AEG38" s="1">
        <v>7.17</v>
      </c>
      <c r="AEH38" s="1">
        <v>4.21</v>
      </c>
      <c r="AEI38" s="1">
        <v>0.7</v>
      </c>
      <c r="AEJ38" s="1">
        <v>2.2599999999999998</v>
      </c>
      <c r="AEK38" s="1">
        <v>0</v>
      </c>
      <c r="AEL38" s="1">
        <v>0</v>
      </c>
      <c r="AEM38" s="1">
        <v>0</v>
      </c>
      <c r="AEN38" s="1">
        <v>0</v>
      </c>
      <c r="AEO38" s="1">
        <v>0</v>
      </c>
      <c r="AEP38" s="1">
        <v>0</v>
      </c>
      <c r="AEQ38" s="1">
        <v>0</v>
      </c>
      <c r="AER38" s="1">
        <v>0</v>
      </c>
      <c r="AES38" s="1">
        <v>0</v>
      </c>
      <c r="AET38" s="1">
        <v>0</v>
      </c>
      <c r="AEU38" s="1">
        <v>0</v>
      </c>
      <c r="AEV38" s="1">
        <v>0.02</v>
      </c>
      <c r="AEW38" s="1">
        <v>3.91</v>
      </c>
      <c r="AEX38" s="1">
        <v>7.93</v>
      </c>
      <c r="AEY38" s="1">
        <v>7.72</v>
      </c>
      <c r="AEZ38" s="1">
        <v>5.67</v>
      </c>
      <c r="AFA38" s="1">
        <v>0.01</v>
      </c>
      <c r="AFB38" s="1">
        <v>5.68</v>
      </c>
      <c r="AFC38" s="1">
        <v>227</v>
      </c>
      <c r="AFD38" s="1">
        <v>230.38</v>
      </c>
      <c r="AFE38" s="1">
        <v>0.5</v>
      </c>
      <c r="AFF38" s="1">
        <v>0.17</v>
      </c>
      <c r="AFG38" s="1">
        <v>0.11989898989898991</v>
      </c>
      <c r="AFH38" s="1">
        <v>0.17430000000000004</v>
      </c>
      <c r="AFI38" s="1">
        <v>0.38175323599898991</v>
      </c>
      <c r="AFJ38" s="1">
        <v>0.67</v>
      </c>
      <c r="AFK38" s="1">
        <v>17.420000000000002</v>
      </c>
      <c r="AFL38" s="1">
        <v>17.430000000000003</v>
      </c>
      <c r="AFM38" s="1">
        <v>1.0000000000001563E-2</v>
      </c>
      <c r="AFO38" s="1">
        <v>17.420000000000002</v>
      </c>
      <c r="AFP38" s="1">
        <v>0</v>
      </c>
      <c r="AFQ38" s="1">
        <v>17.43</v>
      </c>
      <c r="AFX38" s="1">
        <v>18.29</v>
      </c>
    </row>
    <row r="39" spans="1:856" s="1" customFormat="1" ht="63.75" customHeight="1">
      <c r="A39" s="88">
        <v>31</v>
      </c>
      <c r="B39" s="20"/>
      <c r="C39" s="89" t="s">
        <v>520</v>
      </c>
      <c r="D39" s="20"/>
      <c r="E39" s="20" t="s">
        <v>437</v>
      </c>
      <c r="F39" s="20" t="s">
        <v>438</v>
      </c>
      <c r="G39" s="20">
        <v>0.8</v>
      </c>
      <c r="H39" s="20">
        <v>679.3</v>
      </c>
      <c r="I39" s="20">
        <f>679.3-0.6-0.8</f>
        <v>677.9</v>
      </c>
      <c r="J39" s="20">
        <f t="shared" si="0"/>
        <v>542.32000000000005</v>
      </c>
      <c r="K39" s="20">
        <v>16</v>
      </c>
      <c r="L39" s="20"/>
      <c r="M39" s="20"/>
      <c r="N39" s="20"/>
      <c r="O39" s="90">
        <f t="shared" si="1"/>
        <v>0</v>
      </c>
      <c r="P39" s="20"/>
      <c r="Q39" s="20"/>
      <c r="R39" s="90">
        <f t="shared" si="2"/>
        <v>0</v>
      </c>
      <c r="S39" s="20">
        <v>60</v>
      </c>
      <c r="T39" s="20">
        <v>2.6</v>
      </c>
      <c r="U39" s="20">
        <v>3.13</v>
      </c>
      <c r="V39" s="91">
        <f t="shared" si="3"/>
        <v>488.28</v>
      </c>
      <c r="W39" s="20">
        <v>2.1000000000000001E-2</v>
      </c>
      <c r="X39" s="20">
        <f t="shared" si="4"/>
        <v>33.42</v>
      </c>
      <c r="Y39" s="91">
        <f t="shared" si="5"/>
        <v>42.11</v>
      </c>
      <c r="Z39" s="20"/>
      <c r="AA39" s="20"/>
      <c r="AB39" s="20"/>
      <c r="AC39" s="91">
        <f t="shared" si="6"/>
        <v>530.39</v>
      </c>
      <c r="AD39" s="90">
        <f t="shared" si="7"/>
        <v>0.78</v>
      </c>
      <c r="AE39" s="92">
        <f t="shared" si="8"/>
        <v>6364.68</v>
      </c>
      <c r="AF39" s="20">
        <v>35</v>
      </c>
      <c r="AG39" s="20">
        <v>34</v>
      </c>
      <c r="AH39" s="20">
        <v>34</v>
      </c>
      <c r="AI39" s="20">
        <v>38</v>
      </c>
      <c r="AJ39" s="20">
        <v>1.6</v>
      </c>
      <c r="AK39" s="90">
        <f t="shared" si="9"/>
        <v>4.53</v>
      </c>
      <c r="AL39" s="90">
        <v>391.01</v>
      </c>
      <c r="AM39" s="90">
        <f t="shared" si="10"/>
        <v>1771.28</v>
      </c>
      <c r="AN39" s="20">
        <v>39</v>
      </c>
      <c r="AO39" s="20">
        <v>39</v>
      </c>
      <c r="AP39" s="20">
        <v>35</v>
      </c>
      <c r="AQ39" s="20">
        <v>39</v>
      </c>
      <c r="AR39" s="20">
        <v>39</v>
      </c>
      <c r="AS39" s="20">
        <f>1+39</f>
        <v>40</v>
      </c>
      <c r="AT39" s="20">
        <f t="shared" si="11"/>
        <v>1</v>
      </c>
      <c r="AU39" s="20">
        <v>1.6</v>
      </c>
      <c r="AV39" s="90">
        <f t="shared" si="12"/>
        <v>4.67</v>
      </c>
      <c r="AW39" s="90">
        <f t="shared" si="548"/>
        <v>180.78</v>
      </c>
      <c r="AX39" s="90">
        <v>964.16</v>
      </c>
      <c r="AY39" s="90">
        <f t="shared" si="14"/>
        <v>1.42</v>
      </c>
      <c r="AZ39" s="90">
        <f t="shared" si="15"/>
        <v>1824.71</v>
      </c>
      <c r="BA39" s="90">
        <f t="shared" si="16"/>
        <v>-860.55000000000007</v>
      </c>
      <c r="BB39" s="90">
        <v>964.16</v>
      </c>
      <c r="BC39" s="90">
        <v>1.42</v>
      </c>
      <c r="BD39" s="92">
        <f t="shared" si="17"/>
        <v>11569.92</v>
      </c>
      <c r="BE39" s="90"/>
      <c r="BF39" s="90">
        <f t="shared" si="18"/>
        <v>0</v>
      </c>
      <c r="BG39" s="90">
        <v>391.01</v>
      </c>
      <c r="BH39" s="90">
        <f t="shared" si="19"/>
        <v>1826.02</v>
      </c>
      <c r="BI39" s="90">
        <f t="shared" si="20"/>
        <v>2.69</v>
      </c>
      <c r="BJ39" s="90">
        <f t="shared" si="21"/>
        <v>189.43661971830988</v>
      </c>
      <c r="BK39" s="90">
        <f t="shared" si="22"/>
        <v>1826.02</v>
      </c>
      <c r="BL39" s="90">
        <f t="shared" si="23"/>
        <v>2.69</v>
      </c>
      <c r="BM39" s="90"/>
      <c r="BN39" s="90">
        <f t="shared" si="24"/>
        <v>0</v>
      </c>
      <c r="BO39" s="90">
        <f t="shared" si="25"/>
        <v>1826.02</v>
      </c>
      <c r="BP39" s="90">
        <f t="shared" si="26"/>
        <v>2.6936421301076856</v>
      </c>
      <c r="BQ39" s="90"/>
      <c r="BR39" s="90">
        <f t="shared" si="27"/>
        <v>0</v>
      </c>
      <c r="BS39" s="90">
        <f t="shared" si="28"/>
        <v>1826.02</v>
      </c>
      <c r="BT39" s="90">
        <f t="shared" si="29"/>
        <v>2.6936421301076856</v>
      </c>
      <c r="BU39" s="90"/>
      <c r="BV39" s="93">
        <v>1.4356370000000001</v>
      </c>
      <c r="BW39" s="90">
        <f t="shared" si="30"/>
        <v>973.21832229999995</v>
      </c>
      <c r="BX39" s="90">
        <f t="shared" si="31"/>
        <v>1031.6114216379999</v>
      </c>
      <c r="BY39" s="90"/>
      <c r="BZ39" s="90"/>
      <c r="CA39" s="90">
        <v>0.2651</v>
      </c>
      <c r="CB39" s="90">
        <f>I39*CA39</f>
        <v>179.71128999999999</v>
      </c>
      <c r="CC39" s="90">
        <v>0.71072749999999996</v>
      </c>
      <c r="CD39" s="90">
        <f t="shared" si="33"/>
        <v>127.72575586347499</v>
      </c>
      <c r="CE39" s="90">
        <f t="shared" si="34"/>
        <v>193.13438868158622</v>
      </c>
      <c r="CF39" s="90">
        <v>188.54553503264029</v>
      </c>
      <c r="CG39" s="90">
        <v>188.54553503264029</v>
      </c>
      <c r="CH39" s="90">
        <f t="shared" si="35"/>
        <v>197.6</v>
      </c>
      <c r="CI39" s="90">
        <f t="shared" si="524"/>
        <v>207.38264264916779</v>
      </c>
      <c r="CJ39" s="90">
        <f t="shared" si="36"/>
        <v>208.47</v>
      </c>
      <c r="CK39" s="90">
        <f t="shared" si="37"/>
        <v>220.47951414540876</v>
      </c>
      <c r="CL39" s="90">
        <f t="shared" si="38"/>
        <v>220.47951414540876</v>
      </c>
      <c r="CM39" s="94">
        <v>0.14899999999999999</v>
      </c>
      <c r="CN39" s="90">
        <f t="shared" si="39"/>
        <v>145.00953002269998</v>
      </c>
      <c r="CO39" s="90">
        <f t="shared" si="40"/>
        <v>153.71010182406198</v>
      </c>
      <c r="CP39" s="90"/>
      <c r="CQ39" s="90">
        <v>3.9537120000000002E-2</v>
      </c>
      <c r="CR39" s="90">
        <f>I39*CQ39</f>
        <v>26.802213648000002</v>
      </c>
      <c r="CS39" s="90">
        <v>0.71072749999999996</v>
      </c>
      <c r="CT39" s="90">
        <f t="shared" si="42"/>
        <v>19.049070300508919</v>
      </c>
      <c r="CU39" s="90">
        <f t="shared" si="43"/>
        <v>28.804139952585881</v>
      </c>
      <c r="CV39" s="90">
        <v>58.258036388546635</v>
      </c>
      <c r="CW39" s="90">
        <f t="shared" si="44"/>
        <v>61.05</v>
      </c>
      <c r="CX39" s="90">
        <f t="shared" si="525"/>
        <v>64.072420717265658</v>
      </c>
      <c r="CY39" s="90">
        <f t="shared" si="45"/>
        <v>64.41</v>
      </c>
      <c r="CZ39" s="90">
        <f t="shared" si="46"/>
        <v>68.11879726000609</v>
      </c>
      <c r="DA39" s="90">
        <f t="shared" si="47"/>
        <v>68.11879726000609</v>
      </c>
      <c r="DB39" s="93">
        <v>1.4169099999999999</v>
      </c>
      <c r="DC39" s="90">
        <f t="shared" si="48"/>
        <v>960.52328899999986</v>
      </c>
      <c r="DD39" s="90">
        <f t="shared" si="49"/>
        <v>1018.1546863399999</v>
      </c>
      <c r="DE39" s="90"/>
      <c r="DF39" s="90"/>
      <c r="DG39" s="90">
        <v>0.16259999999999999</v>
      </c>
      <c r="DH39" s="90">
        <f>I39*DG39</f>
        <v>110.22653999999999</v>
      </c>
      <c r="DI39" s="90">
        <v>0.71072749999999996</v>
      </c>
      <c r="DJ39" s="90">
        <f t="shared" si="51"/>
        <v>78.341033207849989</v>
      </c>
      <c r="DK39" s="90">
        <f t="shared" si="52"/>
        <v>118.45964390654817</v>
      </c>
      <c r="DL39" s="90">
        <v>93.712372495461352</v>
      </c>
      <c r="DM39" s="90">
        <f t="shared" si="53"/>
        <v>98.21</v>
      </c>
      <c r="DN39" s="90">
        <f t="shared" si="526"/>
        <v>103.07211201707878</v>
      </c>
      <c r="DO39" s="90">
        <f t="shared" si="54"/>
        <v>103.61</v>
      </c>
      <c r="DP39" s="90">
        <f t="shared" si="55"/>
        <v>109.58144273390988</v>
      </c>
      <c r="DQ39" s="90">
        <f t="shared" si="56"/>
        <v>109.58144273390988</v>
      </c>
      <c r="DR39" s="93">
        <v>5.6880149999999997E-2</v>
      </c>
      <c r="DS39" s="90">
        <f t="shared" si="57"/>
        <v>38.559053684999995</v>
      </c>
      <c r="DT39" s="90">
        <f t="shared" si="58"/>
        <v>40.8725969061</v>
      </c>
      <c r="DU39" s="90"/>
      <c r="DV39" s="90">
        <v>6.1574999999999998E-3</v>
      </c>
      <c r="DW39" s="90">
        <f>I39*DV39</f>
        <v>4.1741692499999994</v>
      </c>
      <c r="DX39" s="90">
        <v>0.71072749999999996</v>
      </c>
      <c r="DY39" s="90">
        <f t="shared" si="60"/>
        <v>2.9666968756293746</v>
      </c>
      <c r="DZ39" s="90">
        <f t="shared" si="61"/>
        <v>4.48594869221753</v>
      </c>
      <c r="EA39" s="90">
        <f t="shared" si="62"/>
        <v>4.7</v>
      </c>
      <c r="EB39" s="90">
        <f t="shared" si="527"/>
        <v>4.9326843140237289</v>
      </c>
      <c r="EC39" s="90">
        <f t="shared" si="63"/>
        <v>4.96</v>
      </c>
      <c r="ED39" s="90">
        <f t="shared" si="64"/>
        <v>5.2441989700578011</v>
      </c>
      <c r="EE39" s="90">
        <f t="shared" si="65"/>
        <v>5.2441989700578011</v>
      </c>
      <c r="EF39" s="94">
        <v>0.85293354333000004</v>
      </c>
      <c r="EG39" s="90">
        <f t="shared" si="66"/>
        <v>462.56291921872565</v>
      </c>
      <c r="EH39" s="90">
        <f t="shared" si="67"/>
        <v>490.31669437184922</v>
      </c>
      <c r="EI39" s="90"/>
      <c r="EJ39" s="90">
        <v>0.58975</v>
      </c>
      <c r="EK39" s="90">
        <f t="shared" si="68"/>
        <v>319.83322000000004</v>
      </c>
      <c r="EL39" s="90">
        <v>0.71072749999999996</v>
      </c>
      <c r="EM39" s="90">
        <f t="shared" si="69"/>
        <v>227.31426486755001</v>
      </c>
      <c r="EN39" s="90">
        <f t="shared" si="70"/>
        <v>343.72238619378498</v>
      </c>
      <c r="EO39" s="90">
        <v>335.21338321928806</v>
      </c>
      <c r="EP39" s="90">
        <f t="shared" si="71"/>
        <v>351.3</v>
      </c>
      <c r="EQ39" s="90">
        <f t="shared" si="528"/>
        <v>368.69191479075232</v>
      </c>
      <c r="ER39" s="90">
        <f t="shared" si="72"/>
        <v>370.62</v>
      </c>
      <c r="ES39" s="90">
        <f t="shared" si="73"/>
        <v>391.97597833644795</v>
      </c>
      <c r="ET39" s="90">
        <f t="shared" si="74"/>
        <v>391.97597833644795</v>
      </c>
      <c r="EU39" s="94">
        <v>0.14899999999999999</v>
      </c>
      <c r="EV39" s="90">
        <f t="shared" si="75"/>
        <v>68.921874963590113</v>
      </c>
      <c r="EW39" s="90">
        <f t="shared" si="76"/>
        <v>73.057187461405519</v>
      </c>
      <c r="EX39" s="90"/>
      <c r="EY39" s="90">
        <v>8.7870000000000004E-2</v>
      </c>
      <c r="EZ39" s="90">
        <f t="shared" si="77"/>
        <v>47.653658400000005</v>
      </c>
      <c r="FA39" s="90">
        <v>0.71072749999999996</v>
      </c>
      <c r="FB39" s="90">
        <f t="shared" si="78"/>
        <v>33.868765500485999</v>
      </c>
      <c r="FC39" s="90">
        <f t="shared" si="79"/>
        <v>51.213032767864156</v>
      </c>
      <c r="FD39" s="90">
        <v>103.65342420035101</v>
      </c>
      <c r="FE39" s="90">
        <f t="shared" si="80"/>
        <v>108.63</v>
      </c>
      <c r="FF39" s="90">
        <f t="shared" si="529"/>
        <v>114.00797809199948</v>
      </c>
      <c r="FG39" s="90">
        <f t="shared" si="81"/>
        <v>114.6</v>
      </c>
      <c r="FH39" s="90">
        <f t="shared" si="82"/>
        <v>121.20794342922953</v>
      </c>
      <c r="FI39" s="90">
        <f t="shared" si="83"/>
        <v>121.20794342922953</v>
      </c>
      <c r="FJ39" s="93">
        <v>0.49981642240000002</v>
      </c>
      <c r="FK39" s="90">
        <f t="shared" si="84"/>
        <v>271.06044219596805</v>
      </c>
      <c r="FL39" s="90">
        <f t="shared" si="85"/>
        <v>287.32406872772617</v>
      </c>
      <c r="FM39" s="90"/>
      <c r="FN39" s="90">
        <v>0.35812500000000003</v>
      </c>
      <c r="FO39" s="90">
        <f t="shared" si="86"/>
        <v>194.21835000000004</v>
      </c>
      <c r="FP39" s="90">
        <v>0.71072749999999996</v>
      </c>
      <c r="FQ39" s="90">
        <f t="shared" si="87"/>
        <v>138.03632234962501</v>
      </c>
      <c r="FR39" s="90">
        <f t="shared" si="88"/>
        <v>208.72501832242347</v>
      </c>
      <c r="FS39" s="90">
        <v>164.5389589940051</v>
      </c>
      <c r="FT39" s="90">
        <f t="shared" si="89"/>
        <v>172.44</v>
      </c>
      <c r="FU39" s="90">
        <v>164.67585848850564</v>
      </c>
      <c r="FV39" s="90">
        <f t="shared" si="90"/>
        <v>172.58</v>
      </c>
      <c r="FW39" s="90">
        <f t="shared" si="530"/>
        <v>181.1239699817479</v>
      </c>
      <c r="FX39" s="90">
        <f t="shared" si="91"/>
        <v>182.07</v>
      </c>
      <c r="FY39" s="90">
        <f t="shared" si="92"/>
        <v>192.56252303246282</v>
      </c>
      <c r="FZ39" s="90">
        <f t="shared" si="93"/>
        <v>192.56252303246282</v>
      </c>
      <c r="GA39" s="94">
        <v>1.352261642E-2</v>
      </c>
      <c r="GB39" s="90">
        <f t="shared" si="94"/>
        <v>7.3335853368944006</v>
      </c>
      <c r="GC39" s="90">
        <f t="shared" si="95"/>
        <v>7.7736004571080652</v>
      </c>
      <c r="GD39" s="90"/>
      <c r="GE39" s="90">
        <v>1.0749999999999999E-2</v>
      </c>
      <c r="GF39" s="90">
        <f t="shared" si="96"/>
        <v>5.8299399999999997</v>
      </c>
      <c r="GG39" s="90">
        <v>0.71072749999999996</v>
      </c>
      <c r="GH39" s="90">
        <f t="shared" si="97"/>
        <v>4.1434986813499997</v>
      </c>
      <c r="GI39" s="90">
        <f t="shared" si="98"/>
        <v>6.2653932201495346</v>
      </c>
      <c r="GJ39" s="90">
        <f t="shared" si="99"/>
        <v>6.57</v>
      </c>
      <c r="GK39" s="90">
        <f t="shared" si="531"/>
        <v>6.8952629666246583</v>
      </c>
      <c r="GL39" s="90">
        <f t="shared" si="100"/>
        <v>6.93</v>
      </c>
      <c r="GM39" s="90">
        <f t="shared" si="101"/>
        <v>7.3307206879318612</v>
      </c>
      <c r="GN39" s="90">
        <f t="shared" si="102"/>
        <v>7.3307206879318612</v>
      </c>
      <c r="GO39" s="90">
        <v>3225.6</v>
      </c>
      <c r="GP39" s="90">
        <f t="shared" si="103"/>
        <v>268.8</v>
      </c>
      <c r="GQ39" s="90">
        <f>2116.8+138.6</f>
        <v>2255.4</v>
      </c>
      <c r="GR39" s="90">
        <f t="shared" si="104"/>
        <v>187.95000000000002</v>
      </c>
      <c r="GS39" s="90">
        <f t="shared" si="105"/>
        <v>456.75</v>
      </c>
      <c r="GT39" s="90">
        <f t="shared" si="106"/>
        <v>0.67</v>
      </c>
      <c r="GU39" s="90">
        <v>3684.48</v>
      </c>
      <c r="GV39" s="90">
        <f>2006.4+132.24</f>
        <v>2138.6400000000003</v>
      </c>
      <c r="GW39" s="90">
        <f t="shared" si="107"/>
        <v>485.26000000000005</v>
      </c>
      <c r="GX39" s="90">
        <f t="shared" si="108"/>
        <v>0.72</v>
      </c>
      <c r="GY39" s="90">
        <v>6584.64</v>
      </c>
      <c r="GZ39" s="90">
        <f>2134.08+141.36</f>
        <v>2275.44</v>
      </c>
      <c r="HA39" s="90">
        <f t="shared" si="109"/>
        <v>738.34</v>
      </c>
      <c r="HB39" s="90">
        <f t="shared" si="110"/>
        <v>1.0900000000000001</v>
      </c>
      <c r="HC39" s="90">
        <v>6584.64</v>
      </c>
      <c r="HD39" s="90">
        <f>2134.08+141.36</f>
        <v>2275.44</v>
      </c>
      <c r="HE39" s="90">
        <f t="shared" si="111"/>
        <v>738.34</v>
      </c>
      <c r="HF39" s="90">
        <f t="shared" si="112"/>
        <v>1.0900000000000001</v>
      </c>
      <c r="HG39" s="90"/>
      <c r="HH39" s="90"/>
      <c r="HI39" s="90">
        <v>0.96</v>
      </c>
      <c r="HJ39" s="90">
        <f t="shared" si="113"/>
        <v>650.78399999999999</v>
      </c>
      <c r="HK39" s="90">
        <f t="shared" si="114"/>
        <v>1.0060775925652752</v>
      </c>
      <c r="HL39" s="90">
        <f t="shared" si="115"/>
        <v>682.02</v>
      </c>
      <c r="HM39" s="90">
        <v>1.07</v>
      </c>
      <c r="HN39" s="90">
        <f t="shared" si="116"/>
        <v>725.35300000000007</v>
      </c>
      <c r="HO39" s="90">
        <v>1.1499999999999999</v>
      </c>
      <c r="HP39" s="90">
        <f t="shared" si="117"/>
        <v>779.59</v>
      </c>
      <c r="HQ39" s="90">
        <v>1.1499999999999999</v>
      </c>
      <c r="HR39" s="90">
        <f t="shared" si="118"/>
        <v>779.59</v>
      </c>
      <c r="HS39" s="90">
        <v>0.31919999999999998</v>
      </c>
      <c r="HT39" s="90">
        <f t="shared" si="119"/>
        <v>216.38567999999998</v>
      </c>
      <c r="HU39" s="90" t="e">
        <f>HT39*#REF!</f>
        <v>#REF!</v>
      </c>
      <c r="HV39" s="90">
        <v>2.83</v>
      </c>
      <c r="HW39" s="90">
        <v>3.1</v>
      </c>
      <c r="HX39" s="90">
        <f t="shared" si="120"/>
        <v>2101.4899999999998</v>
      </c>
      <c r="HY39" s="90">
        <v>1.06</v>
      </c>
      <c r="HZ39" s="90">
        <f t="shared" si="121"/>
        <v>2227.5794000000001</v>
      </c>
      <c r="IA39" s="90">
        <f t="shared" si="122"/>
        <v>3.29</v>
      </c>
      <c r="IB39" s="90">
        <f t="shared" si="123"/>
        <v>3.45</v>
      </c>
      <c r="IC39" s="90">
        <f t="shared" si="124"/>
        <v>2338.7550000000001</v>
      </c>
      <c r="ID39" s="90">
        <f t="shared" si="125"/>
        <v>3.64</v>
      </c>
      <c r="IE39" s="90">
        <f t="shared" si="126"/>
        <v>2467.56</v>
      </c>
      <c r="IF39" s="90">
        <f t="shared" si="127"/>
        <v>3.64</v>
      </c>
      <c r="IG39" s="92">
        <f t="shared" si="128"/>
        <v>29610.720000000001</v>
      </c>
      <c r="IH39" s="90">
        <v>3.91</v>
      </c>
      <c r="II39" s="90">
        <f t="shared" si="129"/>
        <v>4.1100000000000003</v>
      </c>
      <c r="IJ39" s="90">
        <f t="shared" si="130"/>
        <v>2786.17</v>
      </c>
      <c r="IK39" s="90">
        <f t="shared" si="131"/>
        <v>4.1100000000000003</v>
      </c>
      <c r="IL39" s="90">
        <f t="shared" si="132"/>
        <v>2786.17</v>
      </c>
      <c r="IM39" s="90">
        <f t="shared" si="133"/>
        <v>4.1100000000000003</v>
      </c>
      <c r="IN39" s="90">
        <f t="shared" si="134"/>
        <v>2786.17</v>
      </c>
      <c r="IO39" s="90">
        <f t="shared" si="135"/>
        <v>4.1100000000000003</v>
      </c>
      <c r="IP39" s="93">
        <v>0.37052404126999999</v>
      </c>
      <c r="IQ39" s="90">
        <f t="shared" si="136"/>
        <v>200.94259806154642</v>
      </c>
      <c r="IR39" s="90">
        <f t="shared" si="137"/>
        <v>212.99915394523921</v>
      </c>
      <c r="IS39" s="90">
        <v>108693.96</v>
      </c>
      <c r="IT39" s="90">
        <v>3053.33</v>
      </c>
      <c r="IU39" s="93">
        <v>2.81E-2</v>
      </c>
      <c r="IV39" s="93"/>
      <c r="IW39" s="94">
        <v>1.6976249999999999</v>
      </c>
      <c r="IX39" s="90">
        <f t="shared" si="138"/>
        <v>920.65599000000009</v>
      </c>
      <c r="IY39" s="93">
        <v>0.56339614052999998</v>
      </c>
      <c r="IZ39" s="90">
        <f t="shared" si="139"/>
        <v>381.92624366528696</v>
      </c>
      <c r="JA39" s="90">
        <f t="shared" si="140"/>
        <v>400.26</v>
      </c>
      <c r="JB39" s="90">
        <f t="shared" si="532"/>
        <v>420.07579224066757</v>
      </c>
      <c r="JC39" s="90">
        <f t="shared" si="141"/>
        <v>422.27</v>
      </c>
      <c r="JD39" s="90">
        <f t="shared" si="142"/>
        <v>446.60491058624149</v>
      </c>
      <c r="JE39" s="90">
        <f t="shared" si="143"/>
        <v>446.60491058624149</v>
      </c>
      <c r="JF39" s="93">
        <v>4.2278943710000003E-2</v>
      </c>
      <c r="JG39" s="90">
        <f t="shared" si="144"/>
        <v>22.928716752807205</v>
      </c>
      <c r="JH39" s="90">
        <f t="shared" si="145"/>
        <v>24.30443975797564</v>
      </c>
      <c r="JI39" s="20">
        <v>462.98</v>
      </c>
      <c r="JJ39" s="20"/>
      <c r="JK39" s="20">
        <v>6.0624999999999998E-2</v>
      </c>
      <c r="JL39" s="90">
        <f t="shared" si="146"/>
        <v>32.878150000000005</v>
      </c>
      <c r="JM39" s="93">
        <v>6.7347080040000007E-2</v>
      </c>
      <c r="JN39" s="90">
        <f t="shared" si="147"/>
        <v>45.654585559116001</v>
      </c>
      <c r="JO39" s="90">
        <f t="shared" si="148"/>
        <v>47.85</v>
      </c>
      <c r="JP39" s="90">
        <f t="shared" si="533"/>
        <v>50.218924345964979</v>
      </c>
      <c r="JQ39" s="90">
        <f t="shared" si="149"/>
        <v>50.48</v>
      </c>
      <c r="JR39" s="90">
        <f t="shared" si="150"/>
        <v>53.390408663248031</v>
      </c>
      <c r="JS39" s="90">
        <f t="shared" si="151"/>
        <v>53.390408663248031</v>
      </c>
      <c r="JT39" s="93">
        <v>7.3220517000000002E-3</v>
      </c>
      <c r="JU39" s="90">
        <f t="shared" si="152"/>
        <v>3.9708950779440007</v>
      </c>
      <c r="JV39" s="90">
        <f t="shared" si="153"/>
        <v>4.16</v>
      </c>
      <c r="JW39" s="90">
        <f t="shared" si="534"/>
        <v>4.3659503715614276</v>
      </c>
      <c r="JX39" s="90">
        <f t="shared" si="154"/>
        <v>4.3899999999999997</v>
      </c>
      <c r="JY39" s="90">
        <f t="shared" si="155"/>
        <v>4.6416739820086059</v>
      </c>
      <c r="JZ39" s="90">
        <f t="shared" si="156"/>
        <v>4.6416739820086059</v>
      </c>
      <c r="KA39" s="90">
        <v>8.3090999999999998E-3</v>
      </c>
      <c r="KB39" s="90">
        <f t="shared" si="157"/>
        <v>4.5061911120000007</v>
      </c>
      <c r="KC39" s="90" t="e">
        <f>KB39*#REF!</f>
        <v>#REF!</v>
      </c>
      <c r="KD39" s="90">
        <v>34406.519999999997</v>
      </c>
      <c r="KE39" s="90">
        <v>40292.97</v>
      </c>
      <c r="KF39" s="93">
        <v>1.1711</v>
      </c>
      <c r="KG39" s="90">
        <f>I39*KF39</f>
        <v>793.88869</v>
      </c>
      <c r="KH39" s="90" t="e">
        <f>KG39/(BW39+#REF!)*(CB39+#REF!)</f>
        <v>#REF!</v>
      </c>
      <c r="KI39" s="90">
        <v>0.8</v>
      </c>
      <c r="KJ39" s="94"/>
      <c r="KK39" s="90">
        <f t="shared" si="159"/>
        <v>0</v>
      </c>
      <c r="KL39" s="93">
        <v>1.2690177</v>
      </c>
      <c r="KM39" s="90">
        <f t="shared" si="160"/>
        <v>860.26709883000001</v>
      </c>
      <c r="KN39" s="90">
        <f t="shared" si="161"/>
        <v>911.88312475980001</v>
      </c>
      <c r="KO39" s="90" t="e">
        <f>BW39+CN39+DC39+DS39+EG39+EV39+FK39+GB39+#REF!+#REF!+HJ39+HX39+IQ39+JG39+JU39+KK39+KM39</f>
        <v>#REF!</v>
      </c>
      <c r="KP39" s="90"/>
      <c r="KQ39" s="90">
        <v>0.50815001599999998</v>
      </c>
      <c r="KR39" s="90">
        <f>I39*KQ39</f>
        <v>344.47489584639999</v>
      </c>
      <c r="KS39" s="90">
        <v>0.71072749999999996</v>
      </c>
      <c r="KT39" s="90">
        <f t="shared" si="163"/>
        <v>244.82778153767222</v>
      </c>
      <c r="KU39" s="90">
        <f t="shared" si="164"/>
        <v>370.20461221689271</v>
      </c>
      <c r="KV39" s="90">
        <f t="shared" si="165"/>
        <v>387.97</v>
      </c>
      <c r="KW39" s="90">
        <f t="shared" si="535"/>
        <v>407.17734751314595</v>
      </c>
      <c r="KX39" s="90">
        <f t="shared" si="166"/>
        <v>409.31</v>
      </c>
      <c r="KY39" s="90">
        <f t="shared" si="167"/>
        <v>432.89188817304785</v>
      </c>
      <c r="KZ39" s="90">
        <f t="shared" si="168"/>
        <v>432.89188817304785</v>
      </c>
      <c r="LA39" s="90">
        <f t="shared" si="169"/>
        <v>2657.3699999999994</v>
      </c>
      <c r="LB39" s="90">
        <f t="shared" si="170"/>
        <v>3.92</v>
      </c>
      <c r="LC39" s="92">
        <f t="shared" si="171"/>
        <v>31888.439999999995</v>
      </c>
      <c r="LD39" s="92">
        <v>4.21</v>
      </c>
      <c r="LE39" s="92">
        <v>2853.9600000000005</v>
      </c>
      <c r="LF39" s="90">
        <f t="shared" si="172"/>
        <v>4.18</v>
      </c>
      <c r="LG39" s="90">
        <f t="shared" si="173"/>
        <v>2833.62</v>
      </c>
      <c r="LH39" s="90">
        <f t="shared" si="174"/>
        <v>2856.6727499999993</v>
      </c>
      <c r="LI39" s="90">
        <f t="shared" si="175"/>
        <v>4.21</v>
      </c>
      <c r="LJ39" s="90">
        <f t="shared" si="176"/>
        <v>2833.6200000000008</v>
      </c>
      <c r="LK39" s="90">
        <f t="shared" si="177"/>
        <v>4.18</v>
      </c>
      <c r="LL39" s="90">
        <f t="shared" si="178"/>
        <v>2833.6200000000008</v>
      </c>
      <c r="LM39" s="90">
        <f t="shared" si="179"/>
        <v>4.18</v>
      </c>
      <c r="LN39" s="95">
        <v>0.46</v>
      </c>
      <c r="LO39" s="95">
        <f t="shared" si="180"/>
        <v>311.83</v>
      </c>
      <c r="LP39" s="95"/>
      <c r="LQ39" s="95">
        <f t="shared" si="181"/>
        <v>0</v>
      </c>
      <c r="LR39" s="90"/>
      <c r="LS39" s="90"/>
      <c r="LT39" s="90">
        <f t="shared" si="182"/>
        <v>0</v>
      </c>
      <c r="LU39" s="90"/>
      <c r="LV39" s="90">
        <f t="shared" si="183"/>
        <v>0</v>
      </c>
      <c r="LW39" s="90">
        <f t="shared" si="184"/>
        <v>0</v>
      </c>
      <c r="LX39" s="90"/>
      <c r="LY39" s="90"/>
      <c r="LZ39" s="90">
        <f t="shared" si="185"/>
        <v>0</v>
      </c>
      <c r="MA39" s="90"/>
      <c r="MB39" s="90">
        <f t="shared" si="186"/>
        <v>0</v>
      </c>
      <c r="MC39" s="90">
        <f t="shared" si="187"/>
        <v>0</v>
      </c>
      <c r="MD39" s="90"/>
      <c r="ME39" s="90"/>
      <c r="MF39" s="90">
        <f t="shared" si="188"/>
        <v>0</v>
      </c>
      <c r="MG39" s="90"/>
      <c r="MH39" s="90">
        <f t="shared" si="189"/>
        <v>0</v>
      </c>
      <c r="MI39" s="90">
        <f t="shared" si="190"/>
        <v>0</v>
      </c>
      <c r="MJ39" s="90"/>
      <c r="MK39" s="90"/>
      <c r="ML39" s="90">
        <f t="shared" si="191"/>
        <v>0</v>
      </c>
      <c r="MM39" s="90"/>
      <c r="MN39" s="90">
        <f t="shared" si="192"/>
        <v>0</v>
      </c>
      <c r="MO39" s="90">
        <f t="shared" si="193"/>
        <v>0</v>
      </c>
      <c r="MP39" s="90">
        <f t="shared" si="194"/>
        <v>0</v>
      </c>
      <c r="MQ39" s="90">
        <f t="shared" si="195"/>
        <v>0</v>
      </c>
      <c r="MR39" s="90">
        <f t="shared" si="196"/>
        <v>0</v>
      </c>
      <c r="MS39" s="90">
        <f t="shared" si="197"/>
        <v>0</v>
      </c>
      <c r="MT39" s="95"/>
      <c r="MU39" s="95">
        <f t="shared" si="198"/>
        <v>0</v>
      </c>
      <c r="MV39" s="92">
        <f t="shared" si="199"/>
        <v>0</v>
      </c>
      <c r="MW39" s="95"/>
      <c r="MX39" s="95">
        <f t="shared" si="200"/>
        <v>0</v>
      </c>
      <c r="MY39" s="95"/>
      <c r="MZ39" s="95">
        <f t="shared" si="201"/>
        <v>0</v>
      </c>
      <c r="NA39" s="95"/>
      <c r="NB39" s="95">
        <f t="shared" si="202"/>
        <v>0</v>
      </c>
      <c r="NC39" s="92">
        <f t="shared" si="203"/>
        <v>0</v>
      </c>
      <c r="ND39" s="95"/>
      <c r="NE39" s="95">
        <f t="shared" si="204"/>
        <v>0</v>
      </c>
      <c r="NF39" s="95"/>
      <c r="NG39" s="95">
        <f t="shared" si="205"/>
        <v>0</v>
      </c>
      <c r="NH39" s="95"/>
      <c r="NI39" s="95"/>
      <c r="NJ39" s="95">
        <f t="shared" si="206"/>
        <v>0</v>
      </c>
      <c r="NK39" s="92">
        <f t="shared" si="207"/>
        <v>0</v>
      </c>
      <c r="NL39" s="95"/>
      <c r="NM39" s="95">
        <f t="shared" si="208"/>
        <v>0</v>
      </c>
      <c r="NN39" s="95"/>
      <c r="NO39" s="95">
        <f t="shared" si="209"/>
        <v>0</v>
      </c>
      <c r="NP39" s="95"/>
      <c r="NQ39" s="95">
        <f t="shared" si="210"/>
        <v>0</v>
      </c>
      <c r="NR39" s="92">
        <f t="shared" si="211"/>
        <v>0</v>
      </c>
      <c r="NS39" s="95"/>
      <c r="NT39" s="95">
        <f t="shared" si="212"/>
        <v>0</v>
      </c>
      <c r="NU39" s="95"/>
      <c r="NV39" s="95">
        <f t="shared" si="213"/>
        <v>0</v>
      </c>
      <c r="NW39" s="95"/>
      <c r="NX39" s="95">
        <f t="shared" si="214"/>
        <v>0</v>
      </c>
      <c r="NY39" s="92">
        <f t="shared" si="215"/>
        <v>0</v>
      </c>
      <c r="NZ39" s="95"/>
      <c r="OA39" s="95">
        <f t="shared" si="216"/>
        <v>0</v>
      </c>
      <c r="OB39" s="95"/>
      <c r="OC39" s="95">
        <f t="shared" si="217"/>
        <v>0</v>
      </c>
      <c r="OD39" s="90">
        <v>4263.99</v>
      </c>
      <c r="OE39" s="90">
        <f t="shared" si="218"/>
        <v>6.29</v>
      </c>
      <c r="OF39" s="92">
        <f t="shared" si="219"/>
        <v>51167.88</v>
      </c>
      <c r="OG39" s="96">
        <v>964.16</v>
      </c>
      <c r="OH39" s="96">
        <v>1.42</v>
      </c>
      <c r="OI39" s="90">
        <v>5219.83</v>
      </c>
      <c r="OJ39" s="90">
        <f t="shared" si="220"/>
        <v>7.7</v>
      </c>
      <c r="OK39" s="90">
        <f t="shared" si="221"/>
        <v>5228.1499999999996</v>
      </c>
      <c r="OL39" s="90">
        <f t="shared" si="222"/>
        <v>7.71</v>
      </c>
      <c r="OM39" s="90">
        <f t="shared" si="223"/>
        <v>-9.9999999999997868E-3</v>
      </c>
      <c r="ON39" s="90">
        <v>4257.21</v>
      </c>
      <c r="OO39" s="90">
        <f t="shared" si="224"/>
        <v>6.28</v>
      </c>
      <c r="OP39" s="90">
        <v>4255.67</v>
      </c>
      <c r="OQ39" s="90">
        <v>6.28</v>
      </c>
      <c r="OR39" s="90">
        <f t="shared" si="225"/>
        <v>0</v>
      </c>
      <c r="OS39" s="90">
        <f t="shared" si="226"/>
        <v>6.28</v>
      </c>
      <c r="OT39" s="90">
        <v>4257.21</v>
      </c>
      <c r="OU39" s="90">
        <f t="shared" si="227"/>
        <v>6.28</v>
      </c>
      <c r="OV39" s="97">
        <v>3579.31</v>
      </c>
      <c r="OW39" s="90">
        <f t="shared" si="228"/>
        <v>5979.08</v>
      </c>
      <c r="OX39" s="90">
        <f t="shared" si="229"/>
        <v>8.82</v>
      </c>
      <c r="OY39" s="90">
        <f>OU39-1+3.54</f>
        <v>8.82</v>
      </c>
      <c r="OZ39" s="90"/>
      <c r="PA39" s="90"/>
      <c r="PB39" s="95">
        <f t="shared" si="230"/>
        <v>0</v>
      </c>
      <c r="PC39" s="92">
        <f t="shared" si="231"/>
        <v>0</v>
      </c>
      <c r="PD39" s="90"/>
      <c r="PE39" s="95">
        <f t="shared" si="232"/>
        <v>0</v>
      </c>
      <c r="PF39" s="90">
        <f t="shared" si="233"/>
        <v>10809.83</v>
      </c>
      <c r="PG39" s="90">
        <f t="shared" si="234"/>
        <v>15.95</v>
      </c>
      <c r="PH39" s="90">
        <f t="shared" si="235"/>
        <v>14475.060000000001</v>
      </c>
      <c r="PI39" s="90">
        <f t="shared" si="236"/>
        <v>21.35</v>
      </c>
      <c r="PJ39" s="90">
        <f t="shared" si="237"/>
        <v>14475.060000000001</v>
      </c>
      <c r="PK39" s="90">
        <f t="shared" si="238"/>
        <v>21.35</v>
      </c>
      <c r="PL39" s="90"/>
      <c r="PM39" s="90">
        <f t="shared" si="239"/>
        <v>324.29000000000002</v>
      </c>
      <c r="PN39" s="90">
        <f t="shared" si="240"/>
        <v>0.48</v>
      </c>
      <c r="PO39" s="92">
        <f t="shared" si="241"/>
        <v>3891.4800000000005</v>
      </c>
      <c r="PP39" s="90">
        <f t="shared" si="242"/>
        <v>434.25</v>
      </c>
      <c r="PQ39" s="90">
        <f t="shared" si="243"/>
        <v>0.64</v>
      </c>
      <c r="PR39" s="90">
        <f t="shared" si="244"/>
        <v>434.25</v>
      </c>
      <c r="PS39" s="90">
        <f t="shared" si="245"/>
        <v>0.64</v>
      </c>
      <c r="PT39" s="90">
        <f t="shared" si="246"/>
        <v>11134.12</v>
      </c>
      <c r="PU39" s="90">
        <f t="shared" si="247"/>
        <v>16.420000000000002</v>
      </c>
      <c r="PV39" s="90">
        <f t="shared" si="248"/>
        <v>14909.310000000001</v>
      </c>
      <c r="PW39" s="90">
        <f t="shared" si="249"/>
        <v>21.99</v>
      </c>
      <c r="PX39" s="90">
        <f t="shared" si="250"/>
        <v>14909.310000000001</v>
      </c>
      <c r="PY39" s="90">
        <f t="shared" si="251"/>
        <v>21.99</v>
      </c>
      <c r="PZ39" s="90">
        <f t="shared" si="252"/>
        <v>112.47</v>
      </c>
      <c r="QA39" s="90">
        <f t="shared" si="253"/>
        <v>0.17</v>
      </c>
      <c r="QB39" s="92">
        <f t="shared" si="254"/>
        <v>1349.6399999999999</v>
      </c>
      <c r="QC39" s="90">
        <f t="shared" si="255"/>
        <v>150.6</v>
      </c>
      <c r="QD39" s="90">
        <f t="shared" si="256"/>
        <v>0.22</v>
      </c>
      <c r="QE39" s="90">
        <f t="shared" si="257"/>
        <v>150.6</v>
      </c>
      <c r="QF39" s="90">
        <f t="shared" si="258"/>
        <v>0.22</v>
      </c>
      <c r="QG39" s="90">
        <f t="shared" si="259"/>
        <v>11246.59</v>
      </c>
      <c r="QH39" s="90">
        <f t="shared" si="260"/>
        <v>16.59</v>
      </c>
      <c r="QI39" s="92">
        <f t="shared" si="261"/>
        <v>134959.08000000002</v>
      </c>
      <c r="QJ39" s="90">
        <f t="shared" si="262"/>
        <v>423.76734751314592</v>
      </c>
      <c r="QK39" s="98">
        <f t="shared" si="263"/>
        <v>0.21869999999999998</v>
      </c>
      <c r="QL39" s="90">
        <f t="shared" si="264"/>
        <v>148.25672999999998</v>
      </c>
      <c r="QM39" s="90">
        <f t="shared" si="265"/>
        <v>0.14579999999999999</v>
      </c>
      <c r="QN39" s="90">
        <f t="shared" si="266"/>
        <v>98.837819999999994</v>
      </c>
      <c r="QO39" s="90">
        <v>0.21869999999999998</v>
      </c>
      <c r="QP39" s="90">
        <v>0.14579999999999999</v>
      </c>
      <c r="QQ39" s="97">
        <f t="shared" si="267"/>
        <v>247.09454999999997</v>
      </c>
      <c r="QR39" s="97">
        <v>247.09454999999997</v>
      </c>
      <c r="QS39" s="97">
        <f t="shared" si="268"/>
        <v>0</v>
      </c>
      <c r="QT39" s="90"/>
      <c r="QU39" s="90">
        <f t="shared" si="269"/>
        <v>0.14579999999999999</v>
      </c>
      <c r="QV39" s="90">
        <f t="shared" si="270"/>
        <v>98.837819999999994</v>
      </c>
      <c r="QW39" s="90">
        <f t="shared" si="271"/>
        <v>247.09454999999997</v>
      </c>
      <c r="QX39" s="90">
        <f t="shared" si="272"/>
        <v>0.36449999999999999</v>
      </c>
      <c r="QY39" s="90"/>
      <c r="QZ39" s="90"/>
      <c r="RA39" s="90"/>
      <c r="RB39" s="90">
        <v>2522.8999999999996</v>
      </c>
      <c r="RC39" s="97">
        <f t="shared" si="273"/>
        <v>11246.59</v>
      </c>
      <c r="RD39" s="97">
        <f t="shared" si="274"/>
        <v>16.59</v>
      </c>
      <c r="RE39" s="90">
        <f t="shared" si="275"/>
        <v>15059.910000000002</v>
      </c>
      <c r="RF39" s="90">
        <f t="shared" si="276"/>
        <v>22.22</v>
      </c>
      <c r="RG39" s="90">
        <f t="shared" si="277"/>
        <v>133.93610608800481</v>
      </c>
      <c r="RH39" s="90">
        <f t="shared" si="278"/>
        <v>15059.910000000002</v>
      </c>
      <c r="RI39" s="90">
        <f t="shared" si="279"/>
        <v>22.22</v>
      </c>
      <c r="RJ39" s="90">
        <v>18.18</v>
      </c>
      <c r="RK39" s="90">
        <v>0</v>
      </c>
      <c r="RL39" s="90">
        <f t="shared" si="280"/>
        <v>4.0399999999999991</v>
      </c>
      <c r="RM39" s="90">
        <f t="shared" si="281"/>
        <v>124.77528089887639</v>
      </c>
      <c r="RN39" s="90">
        <f t="shared" si="282"/>
        <v>6807.4299999999985</v>
      </c>
      <c r="RO39" s="90"/>
      <c r="RP39" s="90"/>
      <c r="RQ39" s="99">
        <v>560</v>
      </c>
      <c r="RR39" s="90">
        <f t="shared" si="283"/>
        <v>6982.5999999999995</v>
      </c>
      <c r="RS39" s="90">
        <f t="shared" si="284"/>
        <v>10.300339283080099</v>
      </c>
      <c r="RT39" s="90">
        <f t="shared" si="549"/>
        <v>14.579999999999998</v>
      </c>
      <c r="RU39" s="90">
        <f t="shared" si="285"/>
        <v>9883.7819999999992</v>
      </c>
      <c r="RV39" s="90">
        <f t="shared" si="286"/>
        <v>0.62511778656608041</v>
      </c>
      <c r="RW39" s="90">
        <v>10.43</v>
      </c>
      <c r="RX39" s="90">
        <f t="shared" si="287"/>
        <v>10.951499999999999</v>
      </c>
      <c r="RY39" s="90">
        <f t="shared" si="288"/>
        <v>7424.0218499999992</v>
      </c>
      <c r="RZ39" s="90">
        <f t="shared" si="289"/>
        <v>1958.6089134864935</v>
      </c>
      <c r="SA39" s="90">
        <f t="shared" si="290"/>
        <v>876.27318918414676</v>
      </c>
      <c r="SB39" s="90">
        <f t="shared" si="291"/>
        <v>1325.0145639540531</v>
      </c>
      <c r="SC39" s="90">
        <f t="shared" si="292"/>
        <v>2407.3502882563998</v>
      </c>
      <c r="SD39" s="90">
        <f t="shared" si="293"/>
        <v>2407.3502882564003</v>
      </c>
      <c r="SE39" s="90">
        <f t="shared" si="294"/>
        <v>2443.6072134642473</v>
      </c>
      <c r="SF39" s="90">
        <f t="shared" si="295"/>
        <v>2407.2133887618993</v>
      </c>
      <c r="SG39" s="90">
        <f t="shared" si="296"/>
        <v>0.13689949450053973</v>
      </c>
      <c r="SH39" s="90">
        <f t="shared" si="297"/>
        <v>2407.3502882563998</v>
      </c>
      <c r="SI39" s="90">
        <f t="shared" si="298"/>
        <v>3.5511879160000004</v>
      </c>
      <c r="SJ39" s="90">
        <f t="shared" si="299"/>
        <v>3.5509859695558332</v>
      </c>
      <c r="SK39" s="90"/>
      <c r="SL39" s="90"/>
      <c r="SM39" s="90"/>
      <c r="SN39" s="90">
        <f t="shared" si="300"/>
        <v>2577.3099999999995</v>
      </c>
      <c r="SO39" s="90" t="e">
        <f>RU39-#REF!-#REF!-HZ39-LT39-LZ39-MF39-ML39-QL39-QN39-SD39</f>
        <v>#REF!</v>
      </c>
      <c r="SP39" s="90">
        <f t="shared" si="301"/>
        <v>2522.8999999999996</v>
      </c>
      <c r="SQ39" s="90">
        <f t="shared" si="302"/>
        <v>2657.3699999999994</v>
      </c>
      <c r="SR39" s="90">
        <f t="shared" si="303"/>
        <v>3.7216403599350931</v>
      </c>
      <c r="SS39" s="90">
        <f t="shared" si="304"/>
        <v>3.9200029502876523</v>
      </c>
      <c r="ST39" s="90">
        <f t="shared" si="305"/>
        <v>2667.473</v>
      </c>
      <c r="SU39" s="90">
        <v>3.7216403599350931</v>
      </c>
      <c r="SV39" s="90">
        <f t="shared" si="306"/>
        <v>3.93</v>
      </c>
      <c r="SW39" s="90">
        <v>3.92</v>
      </c>
      <c r="SX39" s="90">
        <f t="shared" si="307"/>
        <v>2657.37</v>
      </c>
      <c r="SY39" s="90">
        <v>3.7216403599350931</v>
      </c>
      <c r="SZ39" s="90">
        <f t="shared" si="308"/>
        <v>2522.8999999999996</v>
      </c>
      <c r="TA39" s="90">
        <f t="shared" si="309"/>
        <v>0</v>
      </c>
      <c r="TB39" s="90">
        <v>0</v>
      </c>
      <c r="TC39" s="90">
        <f t="shared" si="310"/>
        <v>3622.9224499999991</v>
      </c>
      <c r="TD39" s="90" t="e">
        <f>#REF!+#REF!</f>
        <v>#REF!</v>
      </c>
      <c r="TE39" s="90" t="e">
        <f t="shared" si="311"/>
        <v>#REF!</v>
      </c>
      <c r="TF39" s="90">
        <v>3538.9924499999988</v>
      </c>
      <c r="TG39" s="90">
        <f t="shared" si="312"/>
        <v>36.655224184426558</v>
      </c>
      <c r="TH39" s="95"/>
      <c r="TI39" s="95"/>
      <c r="TJ39" s="95"/>
      <c r="TK39" s="95"/>
      <c r="TL39" s="95"/>
      <c r="TM39" s="95">
        <f t="shared" si="313"/>
        <v>0</v>
      </c>
      <c r="TN39" s="95">
        <f t="shared" si="314"/>
        <v>9883.7819999999992</v>
      </c>
      <c r="TO39" s="95">
        <f t="shared" si="315"/>
        <v>36.655224184426558</v>
      </c>
      <c r="TP39" s="95"/>
      <c r="TQ39" s="95">
        <f t="shared" si="316"/>
        <v>14.579999999999998</v>
      </c>
      <c r="TR39" s="95"/>
      <c r="TS39" s="95"/>
      <c r="TT39" s="95"/>
      <c r="TU39" s="95"/>
      <c r="TV39" s="95"/>
      <c r="TW39" s="95"/>
      <c r="TX39" s="95"/>
      <c r="TY39" s="95"/>
      <c r="TZ39" s="95">
        <f t="shared" si="317"/>
        <v>2.5</v>
      </c>
      <c r="UA39" s="95">
        <f t="shared" si="318"/>
        <v>0.64151999999999998</v>
      </c>
      <c r="UB39" s="90">
        <v>0</v>
      </c>
      <c r="UC39" s="90">
        <f t="shared" si="319"/>
        <v>0</v>
      </c>
      <c r="UD39" s="90">
        <f t="shared" si="320"/>
        <v>0</v>
      </c>
      <c r="UE39" s="90">
        <f t="shared" si="321"/>
        <v>0</v>
      </c>
      <c r="UF39" s="90">
        <f t="shared" si="322"/>
        <v>9883.7819999999992</v>
      </c>
      <c r="UG39" s="91">
        <f t="shared" si="323"/>
        <v>0</v>
      </c>
      <c r="UH39" s="95">
        <f t="shared" si="324"/>
        <v>36.655224184426558</v>
      </c>
      <c r="UI39" s="95">
        <f t="shared" si="325"/>
        <v>9883.7819999999992</v>
      </c>
      <c r="UJ39" s="101">
        <f t="shared" si="326"/>
        <v>0</v>
      </c>
      <c r="UK39" s="101">
        <f t="shared" si="327"/>
        <v>36.655224184426558</v>
      </c>
      <c r="UL39" s="90" t="e">
        <f>(#REF!+#REF!+HZ39+LT39+LZ39+MF39+ML39+QL39+QN39+SN39+TC39+TM39+UC39)/I39</f>
        <v>#REF!</v>
      </c>
      <c r="UN39" s="90" t="e">
        <f>#REF!/I39</f>
        <v>#REF!</v>
      </c>
      <c r="UO39" s="90" t="e">
        <f>#REF!/I39</f>
        <v>#REF!</v>
      </c>
      <c r="UP39" s="90">
        <v>1.1499999999999999</v>
      </c>
      <c r="UQ39" s="90" t="e">
        <f t="shared" si="328"/>
        <v>#REF!</v>
      </c>
      <c r="UR39" s="90">
        <f t="shared" si="329"/>
        <v>6982.5999999999995</v>
      </c>
      <c r="US39" s="90">
        <f t="shared" si="330"/>
        <v>8515.9200000000019</v>
      </c>
      <c r="UT39" s="90">
        <f t="shared" si="331"/>
        <v>8515.9200000000019</v>
      </c>
      <c r="UU39" s="90">
        <f t="shared" si="516"/>
        <v>8827.7500000000018</v>
      </c>
      <c r="UV39" s="90">
        <f t="shared" si="333"/>
        <v>8769.0000000000018</v>
      </c>
      <c r="UW39" s="90">
        <f t="shared" si="334"/>
        <v>6.01</v>
      </c>
      <c r="UX39" s="90">
        <f t="shared" si="335"/>
        <v>3.92</v>
      </c>
      <c r="UY39" s="90">
        <f t="shared" si="336"/>
        <v>3.8019029355362139</v>
      </c>
      <c r="UZ39" s="100">
        <f t="shared" si="337"/>
        <v>3.5511879160000004</v>
      </c>
      <c r="VA39" s="90">
        <f t="shared" si="338"/>
        <v>0.67</v>
      </c>
      <c r="VB39" s="90">
        <f t="shared" si="339"/>
        <v>1.42</v>
      </c>
      <c r="VC39" s="90">
        <f t="shared" si="340"/>
        <v>0</v>
      </c>
      <c r="VD39" s="90">
        <f t="shared" si="341"/>
        <v>0</v>
      </c>
      <c r="VE39" s="90">
        <f t="shared" si="342"/>
        <v>0</v>
      </c>
      <c r="VF39" s="90">
        <f t="shared" si="343"/>
        <v>0</v>
      </c>
      <c r="VG39" s="90">
        <f t="shared" si="344"/>
        <v>0</v>
      </c>
      <c r="VH39" s="90">
        <f t="shared" si="345"/>
        <v>0</v>
      </c>
      <c r="VI39" s="90">
        <f t="shared" si="346"/>
        <v>0</v>
      </c>
      <c r="VJ39" s="90">
        <f t="shared" si="347"/>
        <v>0</v>
      </c>
      <c r="VK39" s="90">
        <f t="shared" si="348"/>
        <v>0.78</v>
      </c>
      <c r="VL39" s="90">
        <f t="shared" si="349"/>
        <v>3.64</v>
      </c>
      <c r="VM39" s="90">
        <f t="shared" si="350"/>
        <v>6.29</v>
      </c>
      <c r="VN39" s="90">
        <f t="shared" si="351"/>
        <v>0</v>
      </c>
      <c r="VO39" s="90">
        <f t="shared" si="352"/>
        <v>6.29</v>
      </c>
      <c r="VP39" s="97">
        <v>0</v>
      </c>
      <c r="VQ39" s="97">
        <v>6.29</v>
      </c>
      <c r="VR39" s="90">
        <f t="shared" si="353"/>
        <v>0.48</v>
      </c>
      <c r="VS39" s="90">
        <f t="shared" si="354"/>
        <v>0.17</v>
      </c>
      <c r="VT39" s="90">
        <v>0.11989898989898991</v>
      </c>
      <c r="VU39" s="90">
        <f t="shared" si="355"/>
        <v>0.16589999999999999</v>
      </c>
      <c r="VV39" s="90">
        <v>0.38175323599898991</v>
      </c>
      <c r="VW39" s="90">
        <f t="shared" si="356"/>
        <v>0.65</v>
      </c>
      <c r="VX39" s="90">
        <f t="shared" si="357"/>
        <v>16.59</v>
      </c>
      <c r="VY39" s="90">
        <f t="shared" si="358"/>
        <v>16.59</v>
      </c>
      <c r="VZ39" s="90">
        <f t="shared" si="359"/>
        <v>0</v>
      </c>
      <c r="WA39" s="90"/>
      <c r="WB39" s="90">
        <f t="shared" si="360"/>
        <v>16.59</v>
      </c>
      <c r="WC39" s="90">
        <f t="shared" si="361"/>
        <v>0</v>
      </c>
      <c r="WD39" s="90"/>
      <c r="WE39" s="90">
        <v>16.59</v>
      </c>
      <c r="WF39" s="90"/>
      <c r="WG39" s="90">
        <f t="shared" si="362"/>
        <v>11246.360999999999</v>
      </c>
      <c r="WH39" s="90">
        <f t="shared" si="363"/>
        <v>11246.360999999999</v>
      </c>
      <c r="WI39" s="90">
        <f t="shared" si="364"/>
        <v>11246.59</v>
      </c>
      <c r="WJ39" s="90">
        <f t="shared" si="365"/>
        <v>6982.5999999999995</v>
      </c>
      <c r="WK39" s="97">
        <v>4263.99</v>
      </c>
      <c r="WL39" s="97">
        <v>6.29</v>
      </c>
      <c r="WM39" s="90">
        <f t="shared" si="366"/>
        <v>4263.99</v>
      </c>
      <c r="WN39" s="90">
        <f t="shared" si="367"/>
        <v>6.29</v>
      </c>
      <c r="WO39" s="90"/>
      <c r="WP39" s="97">
        <v>16.59</v>
      </c>
      <c r="WQ39" s="90">
        <f t="shared" si="368"/>
        <v>16.59</v>
      </c>
      <c r="WR39" s="91">
        <f t="shared" si="369"/>
        <v>113.78600823045268</v>
      </c>
      <c r="WS39" s="91">
        <f t="shared" si="370"/>
        <v>147.07446808510639</v>
      </c>
      <c r="WT39" s="90">
        <f t="shared" si="371"/>
        <v>11246.36</v>
      </c>
      <c r="WU39" s="90">
        <f t="shared" si="372"/>
        <v>11246.59</v>
      </c>
      <c r="WV39" s="90">
        <f t="shared" si="373"/>
        <v>-0.22999999999956344</v>
      </c>
      <c r="WW39" s="90">
        <v>3.3</v>
      </c>
      <c r="WX39" s="90"/>
      <c r="WY39" s="90"/>
      <c r="WZ39" s="90">
        <f t="shared" si="374"/>
        <v>5.1420434343434342</v>
      </c>
      <c r="XA39" s="90">
        <v>0</v>
      </c>
      <c r="XB39" s="90">
        <f t="shared" si="375"/>
        <v>5.1420434343434342</v>
      </c>
      <c r="XC39" s="90">
        <f t="shared" si="376"/>
        <v>0.46229999999999999</v>
      </c>
      <c r="XD39" s="90">
        <f t="shared" si="377"/>
        <v>0.15565656565656566</v>
      </c>
      <c r="XE39" s="90"/>
      <c r="XF39" s="90">
        <f t="shared" si="378"/>
        <v>15.41</v>
      </c>
      <c r="XG39" s="90">
        <v>5.2205228647293094</v>
      </c>
      <c r="XH39" s="20">
        <v>14.579999999999998</v>
      </c>
      <c r="XI39" s="20">
        <v>0</v>
      </c>
      <c r="XJ39" s="20"/>
      <c r="XK39" s="20"/>
      <c r="XL39" s="20"/>
      <c r="XM39" s="20">
        <f t="shared" si="379"/>
        <v>14.579999999999998</v>
      </c>
      <c r="XN39" s="91">
        <f t="shared" si="380"/>
        <v>113.78600823045268</v>
      </c>
      <c r="XO39" s="20">
        <f t="shared" si="381"/>
        <v>14.579999999999998</v>
      </c>
      <c r="XP39" s="90">
        <f t="shared" si="382"/>
        <v>11.279999999999998</v>
      </c>
      <c r="XQ39" s="91">
        <f t="shared" si="383"/>
        <v>113.78600823045268</v>
      </c>
      <c r="XR39" s="102"/>
      <c r="XS39" s="90">
        <f t="shared" si="384"/>
        <v>3.64</v>
      </c>
      <c r="XT39" s="90">
        <f t="shared" si="385"/>
        <v>6.01</v>
      </c>
      <c r="XU39" s="90">
        <f t="shared" si="386"/>
        <v>3.92</v>
      </c>
      <c r="XV39" s="90">
        <f t="shared" si="387"/>
        <v>0.67</v>
      </c>
      <c r="XW39" s="90">
        <f t="shared" si="388"/>
        <v>0.67</v>
      </c>
      <c r="XX39" s="90">
        <f t="shared" si="389"/>
        <v>0</v>
      </c>
      <c r="XY39" s="90">
        <f t="shared" si="390"/>
        <v>1.42</v>
      </c>
      <c r="XZ39" s="90">
        <f t="shared" si="391"/>
        <v>0</v>
      </c>
      <c r="YA39" s="90">
        <f t="shared" si="392"/>
        <v>0</v>
      </c>
      <c r="YB39" s="90">
        <f t="shared" si="537"/>
        <v>0</v>
      </c>
      <c r="YC39" s="90">
        <f t="shared" si="537"/>
        <v>0</v>
      </c>
      <c r="YD39" s="90">
        <f t="shared" si="394"/>
        <v>1.42</v>
      </c>
      <c r="YE39" s="90">
        <f t="shared" si="395"/>
        <v>6.29</v>
      </c>
      <c r="YF39" s="90">
        <f t="shared" si="396"/>
        <v>0.65</v>
      </c>
      <c r="YG39" s="90">
        <f t="shared" si="397"/>
        <v>16.59</v>
      </c>
      <c r="YI39" s="103" t="s">
        <v>442</v>
      </c>
      <c r="YK39" s="90">
        <f t="shared" si="398"/>
        <v>1.07</v>
      </c>
      <c r="YL39" s="90">
        <f t="shared" si="538"/>
        <v>0.67</v>
      </c>
      <c r="YM39" s="90">
        <f t="shared" si="538"/>
        <v>1.42</v>
      </c>
      <c r="YN39" s="90">
        <f t="shared" si="400"/>
        <v>3.64</v>
      </c>
      <c r="YO39" s="90">
        <f t="shared" si="401"/>
        <v>9.7900000000000009</v>
      </c>
      <c r="YP39" s="90">
        <f t="shared" si="402"/>
        <v>0</v>
      </c>
      <c r="YQ39" s="90">
        <f t="shared" si="403"/>
        <v>16.59</v>
      </c>
      <c r="YR39" s="90">
        <f t="shared" si="404"/>
        <v>0</v>
      </c>
      <c r="YS39" s="104">
        <f t="shared" si="405"/>
        <v>16.590000000000003</v>
      </c>
      <c r="YT39" s="104">
        <f t="shared" si="406"/>
        <v>0</v>
      </c>
      <c r="YY39" s="90">
        <f t="shared" si="407"/>
        <v>7.59</v>
      </c>
      <c r="YZ39" s="90">
        <f t="shared" si="408"/>
        <v>4.18</v>
      </c>
      <c r="ZA39" s="90">
        <f t="shared" si="409"/>
        <v>0.72</v>
      </c>
      <c r="ZB39" s="90">
        <f t="shared" si="410"/>
        <v>2.69</v>
      </c>
      <c r="ZC39" s="90">
        <f t="shared" si="411"/>
        <v>0</v>
      </c>
      <c r="ZD39" s="90">
        <f t="shared" si="412"/>
        <v>0</v>
      </c>
      <c r="ZE39" s="90">
        <f t="shared" si="413"/>
        <v>0</v>
      </c>
      <c r="ZF39" s="90">
        <f t="shared" si="414"/>
        <v>0</v>
      </c>
      <c r="ZG39" s="90">
        <f t="shared" si="415"/>
        <v>0</v>
      </c>
      <c r="ZH39" s="90">
        <f t="shared" si="416"/>
        <v>0</v>
      </c>
      <c r="ZI39" s="90">
        <f t="shared" si="417"/>
        <v>0</v>
      </c>
      <c r="ZJ39" s="90">
        <f t="shared" si="418"/>
        <v>0</v>
      </c>
      <c r="ZK39" s="90">
        <f t="shared" si="419"/>
        <v>0</v>
      </c>
      <c r="ZL39" s="90">
        <f t="shared" si="420"/>
        <v>0.02</v>
      </c>
      <c r="ZM39" s="90">
        <f t="shared" si="421"/>
        <v>4.1100000000000003</v>
      </c>
      <c r="ZN39" s="90">
        <f t="shared" si="422"/>
        <v>11.51</v>
      </c>
      <c r="ZO39" s="90">
        <f t="shared" si="423"/>
        <v>7.71</v>
      </c>
      <c r="ZP39" s="90">
        <f t="shared" si="424"/>
        <v>8.82</v>
      </c>
      <c r="ZQ39" s="90">
        <f t="shared" si="425"/>
        <v>0</v>
      </c>
      <c r="ZR39" s="90">
        <f t="shared" si="426"/>
        <v>8.82</v>
      </c>
      <c r="ZS39" s="97">
        <v>227</v>
      </c>
      <c r="ZT39" s="97">
        <v>230.38</v>
      </c>
      <c r="ZU39" s="90">
        <f t="shared" si="427"/>
        <v>0.64</v>
      </c>
      <c r="ZV39" s="90">
        <f t="shared" si="428"/>
        <v>0.22</v>
      </c>
      <c r="ZW39" s="90">
        <v>0.11989898989898991</v>
      </c>
      <c r="ZX39" s="90">
        <f t="shared" si="429"/>
        <v>0.21379999999999999</v>
      </c>
      <c r="ZY39" s="90">
        <v>0.38175323599898991</v>
      </c>
      <c r="ZZ39" s="90">
        <f t="shared" si="430"/>
        <v>0.86</v>
      </c>
      <c r="AAA39" s="90">
        <f t="shared" si="431"/>
        <v>21.38</v>
      </c>
      <c r="AAB39" s="90">
        <f t="shared" si="432"/>
        <v>21.38</v>
      </c>
      <c r="AAC39" s="90">
        <f t="shared" si="433"/>
        <v>0</v>
      </c>
      <c r="AAD39" s="90"/>
      <c r="AAE39" s="90">
        <f t="shared" si="434"/>
        <v>21.38</v>
      </c>
      <c r="AAF39" s="90">
        <v>16.59</v>
      </c>
      <c r="AAG39" s="90">
        <f t="shared" si="435"/>
        <v>128.8728149487643</v>
      </c>
      <c r="AAH39" s="90">
        <f t="shared" si="436"/>
        <v>0</v>
      </c>
      <c r="AAI39" s="90">
        <v>0</v>
      </c>
      <c r="AAJ39" s="90"/>
      <c r="AAK39" s="1">
        <v>17.8</v>
      </c>
      <c r="AAL39" s="104">
        <f t="shared" si="437"/>
        <v>3.5799999999999983</v>
      </c>
      <c r="AAM39" s="103" t="s">
        <v>454</v>
      </c>
      <c r="AAN39" s="105">
        <v>7.92</v>
      </c>
      <c r="AAO39" s="90">
        <f t="shared" si="438"/>
        <v>8.42</v>
      </c>
      <c r="AAP39" s="90">
        <v>4.21</v>
      </c>
      <c r="AAQ39" s="90">
        <f t="shared" si="439"/>
        <v>4.18</v>
      </c>
      <c r="AAR39" s="90">
        <v>0.72</v>
      </c>
      <c r="AAS39" s="90">
        <f t="shared" si="440"/>
        <v>1.0900000000000001</v>
      </c>
      <c r="AAT39" s="90">
        <f t="shared" si="441"/>
        <v>151.38888888888891</v>
      </c>
      <c r="AAU39" s="90">
        <v>2.99</v>
      </c>
      <c r="AAV39" s="90">
        <f t="shared" si="442"/>
        <v>2.69</v>
      </c>
      <c r="AAW39" s="90">
        <f t="shared" si="443"/>
        <v>89.966555183946483</v>
      </c>
      <c r="AAX39" s="90">
        <f t="shared" si="444"/>
        <v>0.46</v>
      </c>
      <c r="AAY39" s="90">
        <f t="shared" si="445"/>
        <v>0</v>
      </c>
      <c r="AAZ39" s="90">
        <f t="shared" si="446"/>
        <v>0</v>
      </c>
      <c r="ABA39" s="90">
        <f t="shared" si="447"/>
        <v>0</v>
      </c>
      <c r="ABB39" s="90">
        <f t="shared" si="448"/>
        <v>0</v>
      </c>
      <c r="ABC39" s="90">
        <v>0</v>
      </c>
      <c r="ABD39" s="90">
        <f t="shared" si="449"/>
        <v>0</v>
      </c>
      <c r="ABE39" s="90"/>
      <c r="ABF39" s="90">
        <v>0</v>
      </c>
      <c r="ABG39" s="90">
        <f t="shared" si="450"/>
        <v>0</v>
      </c>
      <c r="ABH39" s="90"/>
      <c r="ABI39" s="90">
        <f t="shared" si="451"/>
        <v>0</v>
      </c>
      <c r="ABJ39" s="90">
        <f t="shared" si="452"/>
        <v>0</v>
      </c>
      <c r="ABK39" s="90">
        <v>0</v>
      </c>
      <c r="ABL39" s="90">
        <f t="shared" si="453"/>
        <v>0</v>
      </c>
      <c r="ABM39" s="90">
        <f t="shared" si="454"/>
        <v>0</v>
      </c>
      <c r="ABN39" s="90">
        <f t="shared" si="455"/>
        <v>0.02</v>
      </c>
      <c r="ABO39" s="90">
        <v>3.91</v>
      </c>
      <c r="ABP39" s="90">
        <f t="shared" si="456"/>
        <v>4.1100000000000003</v>
      </c>
      <c r="ABQ39" s="90">
        <f t="shared" si="457"/>
        <v>105.1150895140665</v>
      </c>
      <c r="ABR39" s="90">
        <f t="shared" si="458"/>
        <v>11.51</v>
      </c>
      <c r="ABS39" s="90">
        <f t="shared" si="459"/>
        <v>7.71</v>
      </c>
      <c r="ABT39" s="90">
        <v>5.28</v>
      </c>
      <c r="ABU39" s="90">
        <f t="shared" si="460"/>
        <v>8.82</v>
      </c>
      <c r="ABV39" s="90">
        <f t="shared" si="461"/>
        <v>167.04545454545453</v>
      </c>
      <c r="ABW39" s="90">
        <f t="shared" si="462"/>
        <v>0</v>
      </c>
      <c r="ABX39" s="90">
        <f t="shared" si="463"/>
        <v>8.82</v>
      </c>
      <c r="ABY39" s="97">
        <v>227</v>
      </c>
      <c r="ABZ39" s="97">
        <v>230.38</v>
      </c>
      <c r="ACA39" s="90">
        <f t="shared" si="464"/>
        <v>0.64</v>
      </c>
      <c r="ACB39" s="90">
        <f t="shared" si="465"/>
        <v>0.22</v>
      </c>
      <c r="ACC39" s="90">
        <v>0.11989898989898991</v>
      </c>
      <c r="ACD39" s="90">
        <f t="shared" si="466"/>
        <v>0.2175</v>
      </c>
      <c r="ACE39" s="90">
        <v>0.38175323599898991</v>
      </c>
      <c r="ACF39" s="90">
        <v>0.69</v>
      </c>
      <c r="ACG39" s="90">
        <f t="shared" si="467"/>
        <v>0.86</v>
      </c>
      <c r="ACH39" s="90">
        <f t="shared" si="468"/>
        <v>124.63768115942028</v>
      </c>
      <c r="ACI39" s="90">
        <f t="shared" si="469"/>
        <v>22.21</v>
      </c>
      <c r="ACJ39" s="90">
        <f t="shared" si="470"/>
        <v>21.75</v>
      </c>
      <c r="ACK39" s="90">
        <f t="shared" si="471"/>
        <v>-0.46000000000000085</v>
      </c>
      <c r="ACL39" s="90"/>
      <c r="ACM39" s="90">
        <f t="shared" si="472"/>
        <v>22.21</v>
      </c>
      <c r="ACN39" s="90">
        <f t="shared" si="473"/>
        <v>0</v>
      </c>
      <c r="ACO39" s="90">
        <f t="shared" si="474"/>
        <v>22.21</v>
      </c>
      <c r="ACP39" s="90">
        <v>17.8</v>
      </c>
      <c r="ACQ39" s="90">
        <f t="shared" si="475"/>
        <v>124.77528089887639</v>
      </c>
      <c r="ACR39" s="90">
        <f t="shared" si="476"/>
        <v>0</v>
      </c>
      <c r="ACS39" s="90">
        <v>0</v>
      </c>
      <c r="ACT39" s="90"/>
      <c r="ACU39" s="90">
        <f t="shared" si="477"/>
        <v>18.707799999999999</v>
      </c>
      <c r="ACV39" s="90">
        <f t="shared" si="478"/>
        <v>-3.502200000000002</v>
      </c>
      <c r="ACX39" s="106" t="s">
        <v>521</v>
      </c>
      <c r="ACY39" s="107">
        <v>30000</v>
      </c>
      <c r="ACZ39" s="107">
        <v>30000</v>
      </c>
      <c r="ADB39" s="90">
        <f t="shared" si="479"/>
        <v>4.1100000000000003</v>
      </c>
      <c r="ADC39" s="90">
        <f t="shared" si="480"/>
        <v>8.42</v>
      </c>
      <c r="ADD39" s="90">
        <f t="shared" si="481"/>
        <v>4.18</v>
      </c>
      <c r="ADE39" s="90">
        <f t="shared" si="517"/>
        <v>1.55</v>
      </c>
      <c r="ADF39" s="90">
        <f t="shared" si="483"/>
        <v>1.0900000000000001</v>
      </c>
      <c r="ADG39" s="90">
        <f t="shared" si="539"/>
        <v>0.46</v>
      </c>
      <c r="ADH39" s="90">
        <f t="shared" si="539"/>
        <v>0</v>
      </c>
      <c r="ADI39" s="90">
        <f t="shared" si="539"/>
        <v>0</v>
      </c>
      <c r="ADJ39" s="90">
        <f t="shared" si="485"/>
        <v>2.69</v>
      </c>
      <c r="ADK39" s="90">
        <f t="shared" si="486"/>
        <v>0</v>
      </c>
      <c r="ADL39" s="90">
        <f t="shared" si="487"/>
        <v>0</v>
      </c>
      <c r="ADM39" s="90">
        <f t="shared" si="540"/>
        <v>0</v>
      </c>
      <c r="ADN39" s="90">
        <f t="shared" si="540"/>
        <v>0</v>
      </c>
      <c r="ADO39" s="90">
        <f t="shared" si="489"/>
        <v>2.69</v>
      </c>
      <c r="ADP39" s="90">
        <f t="shared" si="490"/>
        <v>8.82</v>
      </c>
      <c r="ADQ39" s="90">
        <f t="shared" si="491"/>
        <v>0.86</v>
      </c>
      <c r="ADR39" s="90">
        <f t="shared" si="492"/>
        <v>22.21</v>
      </c>
      <c r="ADU39" s="90">
        <f t="shared" si="493"/>
        <v>1.1499999999999999</v>
      </c>
      <c r="ADV39" s="90">
        <f t="shared" si="494"/>
        <v>1.0900000000000001</v>
      </c>
      <c r="ADW39" s="90">
        <f t="shared" si="495"/>
        <v>2.69</v>
      </c>
      <c r="ADX39" s="90">
        <f t="shared" si="496"/>
        <v>4.1100000000000003</v>
      </c>
      <c r="ADY39" s="90">
        <f t="shared" si="497"/>
        <v>12.709999999999999</v>
      </c>
      <c r="ADZ39" s="90">
        <f t="shared" si="498"/>
        <v>0</v>
      </c>
      <c r="AEA39" s="90">
        <f t="shared" si="499"/>
        <v>22.21</v>
      </c>
      <c r="AEB39" s="90">
        <f t="shared" si="500"/>
        <v>0</v>
      </c>
      <c r="AEC39" s="104">
        <f t="shared" si="501"/>
        <v>21.75</v>
      </c>
      <c r="AED39" s="104">
        <f t="shared" si="502"/>
        <v>0.46000000000000085</v>
      </c>
      <c r="AEG39" s="1">
        <v>7.92</v>
      </c>
      <c r="AEH39" s="1">
        <v>4.21</v>
      </c>
      <c r="AEI39" s="1">
        <v>0.72</v>
      </c>
      <c r="AEJ39" s="1">
        <v>2.99</v>
      </c>
      <c r="AEK39" s="1">
        <v>0</v>
      </c>
      <c r="AEL39" s="1">
        <v>0</v>
      </c>
      <c r="AEM39" s="1">
        <v>0</v>
      </c>
      <c r="AEN39" s="1">
        <v>0</v>
      </c>
      <c r="AEO39" s="1">
        <v>0</v>
      </c>
      <c r="AEP39" s="1">
        <v>0</v>
      </c>
      <c r="AEQ39" s="1">
        <v>0</v>
      </c>
      <c r="AER39" s="1">
        <v>0</v>
      </c>
      <c r="AES39" s="1">
        <v>0</v>
      </c>
      <c r="AET39" s="1">
        <v>0</v>
      </c>
      <c r="AEU39" s="1">
        <v>0</v>
      </c>
      <c r="AEV39" s="1">
        <v>0.02</v>
      </c>
      <c r="AEW39" s="1">
        <v>3.91</v>
      </c>
      <c r="AEX39" s="1">
        <v>8.27</v>
      </c>
      <c r="AEY39" s="1">
        <v>7.71</v>
      </c>
      <c r="AEZ39" s="1">
        <v>5.28</v>
      </c>
      <c r="AFA39" s="1">
        <v>0</v>
      </c>
      <c r="AFB39" s="1">
        <v>5.28</v>
      </c>
      <c r="AFC39" s="1">
        <v>227</v>
      </c>
      <c r="AFD39" s="1">
        <v>230.38</v>
      </c>
      <c r="AFE39" s="1">
        <v>0.51</v>
      </c>
      <c r="AFF39" s="1">
        <v>0.18</v>
      </c>
      <c r="AFG39" s="1">
        <v>0.11989898989898991</v>
      </c>
      <c r="AFH39" s="1">
        <v>0.17800000000000002</v>
      </c>
      <c r="AFI39" s="1">
        <v>0.38175323599898991</v>
      </c>
      <c r="AFJ39" s="1">
        <v>0.69</v>
      </c>
      <c r="AFK39" s="1">
        <v>17.8</v>
      </c>
      <c r="AFL39" s="1">
        <v>17.8</v>
      </c>
      <c r="AFM39" s="1">
        <v>0</v>
      </c>
      <c r="AFO39" s="1">
        <v>17.8</v>
      </c>
      <c r="AFP39" s="1">
        <v>0</v>
      </c>
      <c r="AFQ39" s="1">
        <v>17.8</v>
      </c>
      <c r="AFX39" s="1">
        <v>21.87</v>
      </c>
    </row>
    <row r="40" spans="1:856" s="1" customFormat="1" ht="63.75" customHeight="1">
      <c r="A40" s="88">
        <v>32</v>
      </c>
      <c r="B40" s="20"/>
      <c r="C40" s="89" t="s">
        <v>522</v>
      </c>
      <c r="D40" s="20"/>
      <c r="E40" s="20" t="s">
        <v>437</v>
      </c>
      <c r="F40" s="20" t="s">
        <v>438</v>
      </c>
      <c r="G40" s="20">
        <v>0.8</v>
      </c>
      <c r="H40" s="20">
        <v>564.5</v>
      </c>
      <c r="I40" s="20">
        <f>564.5-0.7-0.3+0.9+0.2-0.7</f>
        <v>563.9</v>
      </c>
      <c r="J40" s="20">
        <f t="shared" si="0"/>
        <v>451.12</v>
      </c>
      <c r="K40" s="20">
        <v>12</v>
      </c>
      <c r="L40" s="20"/>
      <c r="M40" s="20"/>
      <c r="N40" s="20"/>
      <c r="O40" s="90">
        <f t="shared" si="1"/>
        <v>0</v>
      </c>
      <c r="P40" s="20"/>
      <c r="Q40" s="20"/>
      <c r="R40" s="90">
        <f t="shared" si="2"/>
        <v>0</v>
      </c>
      <c r="S40" s="20">
        <v>58.8</v>
      </c>
      <c r="T40" s="20">
        <v>2.6</v>
      </c>
      <c r="U40" s="20">
        <v>3.13</v>
      </c>
      <c r="V40" s="91">
        <f t="shared" si="3"/>
        <v>478.51</v>
      </c>
      <c r="W40" s="20">
        <v>2.1000000000000001E-2</v>
      </c>
      <c r="X40" s="20">
        <f t="shared" si="4"/>
        <v>33.42</v>
      </c>
      <c r="Y40" s="91">
        <f t="shared" si="5"/>
        <v>41.27</v>
      </c>
      <c r="Z40" s="20"/>
      <c r="AA40" s="20"/>
      <c r="AB40" s="20"/>
      <c r="AC40" s="91">
        <f t="shared" si="6"/>
        <v>519.78</v>
      </c>
      <c r="AD40" s="90">
        <f t="shared" si="7"/>
        <v>0.92</v>
      </c>
      <c r="AE40" s="92">
        <f t="shared" si="8"/>
        <v>6237.36</v>
      </c>
      <c r="AF40" s="20">
        <v>22</v>
      </c>
      <c r="AG40" s="20">
        <v>22</v>
      </c>
      <c r="AH40" s="20">
        <v>22</v>
      </c>
      <c r="AI40" s="20">
        <f>17+6</f>
        <v>23</v>
      </c>
      <c r="AJ40" s="20">
        <v>1.6</v>
      </c>
      <c r="AK40" s="90">
        <f t="shared" si="9"/>
        <v>2.93</v>
      </c>
      <c r="AL40" s="90">
        <v>391.01</v>
      </c>
      <c r="AM40" s="90">
        <f t="shared" si="10"/>
        <v>1145.6600000000001</v>
      </c>
      <c r="AN40" s="20">
        <v>22</v>
      </c>
      <c r="AO40" s="20">
        <v>22</v>
      </c>
      <c r="AP40" s="20">
        <v>22</v>
      </c>
      <c r="AQ40" s="20">
        <v>22</v>
      </c>
      <c r="AR40" s="20">
        <v>22</v>
      </c>
      <c r="AS40" s="20">
        <f>17+6</f>
        <v>23</v>
      </c>
      <c r="AT40" s="20">
        <f t="shared" si="11"/>
        <v>0</v>
      </c>
      <c r="AU40" s="20">
        <v>1.6</v>
      </c>
      <c r="AV40" s="90">
        <f t="shared" si="12"/>
        <v>2.93</v>
      </c>
      <c r="AW40" s="90">
        <f t="shared" si="548"/>
        <v>180.78</v>
      </c>
      <c r="AX40" s="90">
        <v>554.39</v>
      </c>
      <c r="AY40" s="90">
        <f t="shared" si="14"/>
        <v>0.98</v>
      </c>
      <c r="AZ40" s="90">
        <f t="shared" si="15"/>
        <v>1146.96</v>
      </c>
      <c r="BA40" s="90">
        <f t="shared" si="16"/>
        <v>-592.57000000000005</v>
      </c>
      <c r="BB40" s="90">
        <v>554.39</v>
      </c>
      <c r="BC40" s="90">
        <v>0.98</v>
      </c>
      <c r="BD40" s="92">
        <f t="shared" si="17"/>
        <v>6652.68</v>
      </c>
      <c r="BE40" s="90"/>
      <c r="BF40" s="90">
        <f t="shared" si="18"/>
        <v>0</v>
      </c>
      <c r="BG40" s="90">
        <v>391.01</v>
      </c>
      <c r="BH40" s="90">
        <f t="shared" si="19"/>
        <v>1145.6600000000001</v>
      </c>
      <c r="BI40" s="90">
        <f t="shared" si="20"/>
        <v>2.0299999999999998</v>
      </c>
      <c r="BJ40" s="90">
        <f t="shared" si="21"/>
        <v>207.14285714285711</v>
      </c>
      <c r="BK40" s="90">
        <f t="shared" si="22"/>
        <v>1145.6600000000001</v>
      </c>
      <c r="BL40" s="90">
        <f t="shared" si="23"/>
        <v>2.0299999999999998</v>
      </c>
      <c r="BM40" s="90"/>
      <c r="BN40" s="90">
        <f t="shared" si="24"/>
        <v>0</v>
      </c>
      <c r="BO40" s="90">
        <f t="shared" si="25"/>
        <v>1145.6600000000001</v>
      </c>
      <c r="BP40" s="90">
        <f t="shared" si="26"/>
        <v>2.0316722823195605</v>
      </c>
      <c r="BQ40" s="90"/>
      <c r="BR40" s="90">
        <f t="shared" si="27"/>
        <v>0</v>
      </c>
      <c r="BS40" s="90">
        <f t="shared" si="28"/>
        <v>1145.6600000000001</v>
      </c>
      <c r="BT40" s="90">
        <f t="shared" si="29"/>
        <v>2.0316722823195605</v>
      </c>
      <c r="BU40" s="90"/>
      <c r="BV40" s="93">
        <v>1.4356370000000001</v>
      </c>
      <c r="BW40" s="90">
        <f t="shared" si="30"/>
        <v>809.5557043</v>
      </c>
      <c r="BX40" s="90">
        <f t="shared" si="31"/>
        <v>858.12904655800003</v>
      </c>
      <c r="BY40" s="90"/>
      <c r="BZ40" s="90"/>
      <c r="CA40" s="90">
        <v>0.2651</v>
      </c>
      <c r="CB40" s="90">
        <f>I40*CA40</f>
        <v>149.48989</v>
      </c>
      <c r="CC40" s="90">
        <v>0.71072749999999996</v>
      </c>
      <c r="CD40" s="90">
        <f t="shared" si="33"/>
        <v>106.246575794975</v>
      </c>
      <c r="CE40" s="90">
        <f t="shared" si="34"/>
        <v>160.65561075710414</v>
      </c>
      <c r="CF40" s="90">
        <v>156.83844960481545</v>
      </c>
      <c r="CG40" s="90">
        <v>156.83844960481545</v>
      </c>
      <c r="CH40" s="90">
        <f t="shared" si="35"/>
        <v>164.37</v>
      </c>
      <c r="CI40" s="90">
        <f t="shared" si="524"/>
        <v>172.50595648851967</v>
      </c>
      <c r="CJ40" s="90">
        <f t="shared" si="36"/>
        <v>173.41</v>
      </c>
      <c r="CK40" s="90">
        <f t="shared" si="37"/>
        <v>183.40008992241985</v>
      </c>
      <c r="CL40" s="90">
        <f t="shared" si="38"/>
        <v>183.40008992241985</v>
      </c>
      <c r="CM40" s="94">
        <v>0.14899999999999999</v>
      </c>
      <c r="CN40" s="90">
        <f t="shared" si="39"/>
        <v>120.6237999407</v>
      </c>
      <c r="CO40" s="90">
        <f t="shared" si="40"/>
        <v>127.861227937142</v>
      </c>
      <c r="CP40" s="90"/>
      <c r="CQ40" s="90">
        <v>3.9538999999999998E-2</v>
      </c>
      <c r="CR40" s="90">
        <f>I40*CQ40</f>
        <v>22.296042099999998</v>
      </c>
      <c r="CS40" s="90">
        <v>0.71072749999999996</v>
      </c>
      <c r="CT40" s="90">
        <f t="shared" si="42"/>
        <v>15.846410261627748</v>
      </c>
      <c r="CU40" s="90">
        <f t="shared" si="43"/>
        <v>23.961381341852658</v>
      </c>
      <c r="CV40" s="90">
        <v>48.463277446621845</v>
      </c>
      <c r="CW40" s="90">
        <f t="shared" si="44"/>
        <v>50.79</v>
      </c>
      <c r="CX40" s="90">
        <f t="shared" si="525"/>
        <v>53.303994220672344</v>
      </c>
      <c r="CY40" s="90">
        <f t="shared" si="45"/>
        <v>53.58</v>
      </c>
      <c r="CZ40" s="90">
        <f t="shared" si="46"/>
        <v>56.670259579970207</v>
      </c>
      <c r="DA40" s="90">
        <f t="shared" si="47"/>
        <v>56.670259579970207</v>
      </c>
      <c r="DB40" s="93">
        <v>1.4169099999999999</v>
      </c>
      <c r="DC40" s="90">
        <f t="shared" si="48"/>
        <v>798.99554899999987</v>
      </c>
      <c r="DD40" s="90">
        <f t="shared" si="49"/>
        <v>846.93528193999987</v>
      </c>
      <c r="DE40" s="90"/>
      <c r="DF40" s="90"/>
      <c r="DG40" s="90">
        <v>0.16261541099999999</v>
      </c>
      <c r="DH40" s="90">
        <f>I40*DG40</f>
        <v>91.698830262899989</v>
      </c>
      <c r="DI40" s="90">
        <v>0.71072749999999996</v>
      </c>
      <c r="DJ40" s="90">
        <f t="shared" si="51"/>
        <v>65.172880385675242</v>
      </c>
      <c r="DK40" s="90">
        <f t="shared" si="52"/>
        <v>98.548012722453805</v>
      </c>
      <c r="DL40" s="90">
        <v>77.960457860396772</v>
      </c>
      <c r="DM40" s="90">
        <f t="shared" si="53"/>
        <v>81.7</v>
      </c>
      <c r="DN40" s="90">
        <f t="shared" si="526"/>
        <v>85.743971802105364</v>
      </c>
      <c r="DO40" s="90">
        <f t="shared" si="54"/>
        <v>86.19</v>
      </c>
      <c r="DP40" s="90">
        <f t="shared" si="55"/>
        <v>91.158893634250191</v>
      </c>
      <c r="DQ40" s="90">
        <f t="shared" si="56"/>
        <v>91.158893634250191</v>
      </c>
      <c r="DR40" s="93">
        <v>5.6880149999999997E-2</v>
      </c>
      <c r="DS40" s="90">
        <f t="shared" si="57"/>
        <v>32.074716584999997</v>
      </c>
      <c r="DT40" s="90">
        <f t="shared" si="58"/>
        <v>33.999199580099997</v>
      </c>
      <c r="DU40" s="90"/>
      <c r="DV40" s="90">
        <v>6.1506E-3</v>
      </c>
      <c r="DW40" s="90">
        <f>I40*DV40</f>
        <v>3.46832334</v>
      </c>
      <c r="DX40" s="90">
        <v>0.71072749999999996</v>
      </c>
      <c r="DY40" s="90">
        <f t="shared" si="60"/>
        <v>2.4650327766298497</v>
      </c>
      <c r="DZ40" s="90">
        <f t="shared" si="61"/>
        <v>3.7273798548572032</v>
      </c>
      <c r="EA40" s="90">
        <f t="shared" si="62"/>
        <v>3.91</v>
      </c>
      <c r="EB40" s="90">
        <f t="shared" si="527"/>
        <v>4.1035364718021041</v>
      </c>
      <c r="EC40" s="90">
        <f t="shared" si="63"/>
        <v>4.13</v>
      </c>
      <c r="ED40" s="90">
        <f t="shared" si="64"/>
        <v>4.3626838936342489</v>
      </c>
      <c r="EE40" s="90">
        <f t="shared" si="65"/>
        <v>4.3626838936342489</v>
      </c>
      <c r="EF40" s="94">
        <v>0.85293354333000004</v>
      </c>
      <c r="EG40" s="90">
        <f t="shared" si="66"/>
        <v>384.77538006702963</v>
      </c>
      <c r="EH40" s="90">
        <f t="shared" si="67"/>
        <v>407.86190287105143</v>
      </c>
      <c r="EI40" s="90"/>
      <c r="EJ40" s="90">
        <v>0.58975</v>
      </c>
      <c r="EK40" s="90">
        <f t="shared" si="68"/>
        <v>266.04802000000001</v>
      </c>
      <c r="EL40" s="90">
        <v>0.71072749999999996</v>
      </c>
      <c r="EM40" s="90">
        <f t="shared" si="69"/>
        <v>189.08764413455</v>
      </c>
      <c r="EN40" s="90">
        <f t="shared" si="70"/>
        <v>285.91971767333735</v>
      </c>
      <c r="EO40" s="90">
        <v>278.84164587507473</v>
      </c>
      <c r="EP40" s="90">
        <f t="shared" si="71"/>
        <v>292.23</v>
      </c>
      <c r="EQ40" s="90">
        <f t="shared" si="528"/>
        <v>306.69474760990511</v>
      </c>
      <c r="ER40" s="90">
        <f t="shared" si="72"/>
        <v>308.3</v>
      </c>
      <c r="ES40" s="90">
        <f t="shared" si="73"/>
        <v>326.06320057205539</v>
      </c>
      <c r="ET40" s="90">
        <f t="shared" si="74"/>
        <v>326.06320057205539</v>
      </c>
      <c r="EU40" s="94">
        <v>0.14899999999999999</v>
      </c>
      <c r="EV40" s="90">
        <f t="shared" si="75"/>
        <v>57.33153162998741</v>
      </c>
      <c r="EW40" s="90">
        <f t="shared" si="76"/>
        <v>60.771423527786659</v>
      </c>
      <c r="EX40" s="90"/>
      <c r="EY40" s="90">
        <v>8.7870000000000004E-2</v>
      </c>
      <c r="EZ40" s="90">
        <f t="shared" si="77"/>
        <v>39.639914400000002</v>
      </c>
      <c r="FA40" s="90">
        <v>0.71072749999999996</v>
      </c>
      <c r="FB40" s="90">
        <f t="shared" si="78"/>
        <v>28.173177261726</v>
      </c>
      <c r="FC40" s="90">
        <f t="shared" si="79"/>
        <v>42.60070469174422</v>
      </c>
      <c r="FD40" s="90">
        <v>86.222367159206314</v>
      </c>
      <c r="FE40" s="90">
        <f t="shared" si="80"/>
        <v>90.36</v>
      </c>
      <c r="FF40" s="90">
        <f t="shared" si="529"/>
        <v>94.832622913564734</v>
      </c>
      <c r="FG40" s="90">
        <f t="shared" si="81"/>
        <v>95.33</v>
      </c>
      <c r="FH40" s="90">
        <f t="shared" si="82"/>
        <v>100.82151320429431</v>
      </c>
      <c r="FI40" s="90">
        <f t="shared" si="83"/>
        <v>100.82151320429431</v>
      </c>
      <c r="FJ40" s="93">
        <v>0.49981642240000002</v>
      </c>
      <c r="FK40" s="90">
        <f t="shared" si="84"/>
        <v>225.47718447308802</v>
      </c>
      <c r="FL40" s="90">
        <f t="shared" si="85"/>
        <v>239.00581554147331</v>
      </c>
      <c r="FM40" s="90"/>
      <c r="FN40" s="90">
        <v>0.35812500000000003</v>
      </c>
      <c r="FO40" s="90">
        <f t="shared" si="86"/>
        <v>161.55735000000001</v>
      </c>
      <c r="FP40" s="90">
        <v>0.71072749999999996</v>
      </c>
      <c r="FQ40" s="90">
        <f t="shared" si="87"/>
        <v>114.82325147212501</v>
      </c>
      <c r="FR40" s="90">
        <f t="shared" si="88"/>
        <v>173.62441524673835</v>
      </c>
      <c r="FS40" s="90">
        <v>136.86898087373228</v>
      </c>
      <c r="FT40" s="90">
        <f t="shared" si="89"/>
        <v>143.44</v>
      </c>
      <c r="FU40" s="90">
        <v>136.98364448711536</v>
      </c>
      <c r="FV40" s="90">
        <f t="shared" si="90"/>
        <v>143.56</v>
      </c>
      <c r="FW40" s="90">
        <f t="shared" si="530"/>
        <v>150.66590687772637</v>
      </c>
      <c r="FX40" s="90">
        <f t="shared" si="91"/>
        <v>151.46</v>
      </c>
      <c r="FY40" s="90">
        <f t="shared" si="92"/>
        <v>160.18079278008514</v>
      </c>
      <c r="FZ40" s="90">
        <f t="shared" si="93"/>
        <v>160.18079278008514</v>
      </c>
      <c r="GA40" s="94">
        <v>1.352261642E-2</v>
      </c>
      <c r="GB40" s="90">
        <f t="shared" si="94"/>
        <v>6.1003227193903999</v>
      </c>
      <c r="GC40" s="90">
        <f t="shared" si="95"/>
        <v>6.4663420825538243</v>
      </c>
      <c r="GD40" s="90"/>
      <c r="GE40" s="90">
        <v>1.0749999999999999E-2</v>
      </c>
      <c r="GF40" s="90">
        <f t="shared" si="96"/>
        <v>4.8495399999999993</v>
      </c>
      <c r="GG40" s="90">
        <v>0.71072749999999996</v>
      </c>
      <c r="GH40" s="90">
        <f t="shared" si="97"/>
        <v>3.4467014403499991</v>
      </c>
      <c r="GI40" s="90">
        <f t="shared" si="98"/>
        <v>5.2117625519090724</v>
      </c>
      <c r="GJ40" s="90">
        <f t="shared" si="99"/>
        <v>5.46</v>
      </c>
      <c r="GK40" s="90">
        <f t="shared" si="531"/>
        <v>5.7302580910586931</v>
      </c>
      <c r="GL40" s="90">
        <f t="shared" si="100"/>
        <v>5.76</v>
      </c>
      <c r="GM40" s="90">
        <f t="shared" si="101"/>
        <v>6.0921365880416891</v>
      </c>
      <c r="GN40" s="90">
        <f t="shared" si="102"/>
        <v>6.0921365880416891</v>
      </c>
      <c r="GO40" s="90">
        <v>2419.1999999999998</v>
      </c>
      <c r="GP40" s="90">
        <f t="shared" si="103"/>
        <v>201.6</v>
      </c>
      <c r="GQ40" s="90">
        <f>1587.6+138.6</f>
        <v>1726.1999999999998</v>
      </c>
      <c r="GR40" s="90">
        <f t="shared" si="104"/>
        <v>143.85</v>
      </c>
      <c r="GS40" s="90">
        <f t="shared" si="105"/>
        <v>345.45</v>
      </c>
      <c r="GT40" s="90">
        <f t="shared" si="106"/>
        <v>0.61</v>
      </c>
      <c r="GU40" s="90">
        <v>2763.36</v>
      </c>
      <c r="GV40" s="90">
        <f>1504.8+132.24</f>
        <v>1637.04</v>
      </c>
      <c r="GW40" s="90">
        <f t="shared" si="107"/>
        <v>366.7</v>
      </c>
      <c r="GX40" s="90">
        <f t="shared" si="108"/>
        <v>0.65</v>
      </c>
      <c r="GY40" s="90">
        <v>4938.4799999999996</v>
      </c>
      <c r="GZ40" s="90">
        <f>1600.56+141.36</f>
        <v>1741.92</v>
      </c>
      <c r="HA40" s="90">
        <f t="shared" si="109"/>
        <v>556.69999999999993</v>
      </c>
      <c r="HB40" s="90">
        <f t="shared" si="110"/>
        <v>0.99</v>
      </c>
      <c r="HC40" s="90">
        <v>4938.4799999999996</v>
      </c>
      <c r="HD40" s="90">
        <f>1600.56+141.36</f>
        <v>1741.92</v>
      </c>
      <c r="HE40" s="90">
        <f t="shared" si="111"/>
        <v>556.69999999999993</v>
      </c>
      <c r="HF40" s="90">
        <f t="shared" si="112"/>
        <v>0.99</v>
      </c>
      <c r="HG40" s="90"/>
      <c r="HH40" s="90"/>
      <c r="HI40" s="90">
        <v>0.96</v>
      </c>
      <c r="HJ40" s="90">
        <f t="shared" si="113"/>
        <v>541.34399999999994</v>
      </c>
      <c r="HK40" s="90">
        <f t="shared" si="114"/>
        <v>1.0060826387657387</v>
      </c>
      <c r="HL40" s="90">
        <f t="shared" si="115"/>
        <v>567.33000000000004</v>
      </c>
      <c r="HM40" s="90">
        <v>1.07</v>
      </c>
      <c r="HN40" s="90">
        <f t="shared" si="116"/>
        <v>603.37300000000005</v>
      </c>
      <c r="HO40" s="90">
        <v>1.1499999999999999</v>
      </c>
      <c r="HP40" s="90">
        <f t="shared" si="117"/>
        <v>648.49</v>
      </c>
      <c r="HQ40" s="90">
        <v>1.1499999999999999</v>
      </c>
      <c r="HR40" s="90">
        <f t="shared" si="118"/>
        <v>648.49</v>
      </c>
      <c r="HS40" s="90">
        <v>0.31919999999999998</v>
      </c>
      <c r="HT40" s="90">
        <f t="shared" si="119"/>
        <v>179.99687999999998</v>
      </c>
      <c r="HU40" s="90" t="e">
        <f>HT40*#REF!</f>
        <v>#REF!</v>
      </c>
      <c r="HV40" s="90">
        <v>2.83</v>
      </c>
      <c r="HW40" s="90">
        <v>3.1</v>
      </c>
      <c r="HX40" s="90">
        <f t="shared" si="120"/>
        <v>1748.09</v>
      </c>
      <c r="HY40" s="90">
        <v>1.06</v>
      </c>
      <c r="HZ40" s="90">
        <f t="shared" si="121"/>
        <v>1852.9754</v>
      </c>
      <c r="IA40" s="90">
        <f t="shared" si="122"/>
        <v>3.29</v>
      </c>
      <c r="IB40" s="90">
        <f t="shared" si="123"/>
        <v>3.45</v>
      </c>
      <c r="IC40" s="90">
        <f t="shared" si="124"/>
        <v>1945.4549999999999</v>
      </c>
      <c r="ID40" s="90">
        <f t="shared" si="125"/>
        <v>3.64</v>
      </c>
      <c r="IE40" s="90">
        <f t="shared" si="126"/>
        <v>2052.6</v>
      </c>
      <c r="IF40" s="90">
        <f t="shared" si="127"/>
        <v>3.64</v>
      </c>
      <c r="IG40" s="92">
        <f t="shared" si="128"/>
        <v>24631.199999999997</v>
      </c>
      <c r="IH40" s="90">
        <v>3.91</v>
      </c>
      <c r="II40" s="90">
        <f t="shared" si="129"/>
        <v>4.1100000000000003</v>
      </c>
      <c r="IJ40" s="90">
        <f t="shared" si="130"/>
        <v>2317.63</v>
      </c>
      <c r="IK40" s="90">
        <f t="shared" si="131"/>
        <v>4.1100000000000003</v>
      </c>
      <c r="IL40" s="90">
        <f t="shared" si="132"/>
        <v>2317.63</v>
      </c>
      <c r="IM40" s="90">
        <f t="shared" si="133"/>
        <v>4.1100000000000003</v>
      </c>
      <c r="IN40" s="90">
        <f t="shared" si="134"/>
        <v>2317.63</v>
      </c>
      <c r="IO40" s="90">
        <f t="shared" si="135"/>
        <v>4.1100000000000003</v>
      </c>
      <c r="IP40" s="93">
        <v>0.37052404126999999</v>
      </c>
      <c r="IQ40" s="90">
        <f t="shared" si="136"/>
        <v>167.15080549772239</v>
      </c>
      <c r="IR40" s="90">
        <f t="shared" si="137"/>
        <v>177.17985382758573</v>
      </c>
      <c r="IS40" s="90">
        <v>108693.96</v>
      </c>
      <c r="IT40" s="90">
        <v>3053.33</v>
      </c>
      <c r="IU40" s="94"/>
      <c r="IV40" s="94"/>
      <c r="IW40" s="94">
        <v>1.6976249999999999</v>
      </c>
      <c r="IX40" s="90">
        <f t="shared" si="138"/>
        <v>765.83258999999998</v>
      </c>
      <c r="IY40" s="93">
        <v>0.56339614052999998</v>
      </c>
      <c r="IZ40" s="90">
        <f t="shared" si="139"/>
        <v>317.69908364486696</v>
      </c>
      <c r="JA40" s="90">
        <f t="shared" si="140"/>
        <v>332.95</v>
      </c>
      <c r="JB40" s="90">
        <f t="shared" si="532"/>
        <v>349.43029879450398</v>
      </c>
      <c r="JC40" s="90">
        <f t="shared" si="141"/>
        <v>351.26</v>
      </c>
      <c r="JD40" s="90">
        <f t="shared" si="142"/>
        <v>371.49759651803663</v>
      </c>
      <c r="JE40" s="90">
        <f t="shared" si="143"/>
        <v>371.49759651803663</v>
      </c>
      <c r="JF40" s="93">
        <v>4.2278943710000003E-2</v>
      </c>
      <c r="JG40" s="90">
        <f t="shared" si="144"/>
        <v>19.0728770864552</v>
      </c>
      <c r="JH40" s="90">
        <f t="shared" si="145"/>
        <v>20.217249711642513</v>
      </c>
      <c r="JI40" s="20">
        <v>462.98</v>
      </c>
      <c r="JJ40" s="20"/>
      <c r="JK40" s="20">
        <v>6.0624999999999998E-2</v>
      </c>
      <c r="JL40" s="90">
        <f t="shared" si="146"/>
        <v>27.349149999999998</v>
      </c>
      <c r="JM40" s="93">
        <v>6.7347080040000007E-2</v>
      </c>
      <c r="JN40" s="90">
        <f t="shared" si="147"/>
        <v>37.977018434556001</v>
      </c>
      <c r="JO40" s="90">
        <f t="shared" si="148"/>
        <v>39.799999999999997</v>
      </c>
      <c r="JP40" s="90">
        <f t="shared" si="533"/>
        <v>41.770013191233694</v>
      </c>
      <c r="JQ40" s="90">
        <f t="shared" si="149"/>
        <v>41.99</v>
      </c>
      <c r="JR40" s="90">
        <f t="shared" si="150"/>
        <v>44.407882088655533</v>
      </c>
      <c r="JS40" s="90">
        <f t="shared" si="151"/>
        <v>44.407882088655533</v>
      </c>
      <c r="JT40" s="93">
        <v>7.3220517000000002E-3</v>
      </c>
      <c r="JU40" s="90">
        <f t="shared" si="152"/>
        <v>3.3031239629040003</v>
      </c>
      <c r="JV40" s="90">
        <f t="shared" si="153"/>
        <v>3.46</v>
      </c>
      <c r="JW40" s="90">
        <f t="shared" si="534"/>
        <v>3.6312624533082558</v>
      </c>
      <c r="JX40" s="90">
        <f t="shared" si="154"/>
        <v>3.65</v>
      </c>
      <c r="JY40" s="90">
        <f t="shared" si="155"/>
        <v>3.8605847242901539</v>
      </c>
      <c r="JZ40" s="90">
        <f t="shared" si="156"/>
        <v>3.8605847242901539</v>
      </c>
      <c r="KA40" s="90">
        <v>8.3090999999999998E-3</v>
      </c>
      <c r="KB40" s="90">
        <f t="shared" si="157"/>
        <v>3.7484011919999998</v>
      </c>
      <c r="KC40" s="90" t="e">
        <f>KB40*#REF!</f>
        <v>#REF!</v>
      </c>
      <c r="KD40" s="90">
        <v>34406.519999999997</v>
      </c>
      <c r="KE40" s="90">
        <v>40292.97</v>
      </c>
      <c r="KF40" s="90"/>
      <c r="KG40" s="90">
        <f t="shared" ref="KG40:KG60" si="550">I40/KD40*KE40</f>
        <v>660.37500401086777</v>
      </c>
      <c r="KH40" s="90" t="e">
        <f>KG40/(BW40+#REF!)*(CB40+#REF!)</f>
        <v>#REF!</v>
      </c>
      <c r="KI40" s="90">
        <v>0.8</v>
      </c>
      <c r="KJ40" s="94"/>
      <c r="KK40" s="90">
        <f t="shared" si="159"/>
        <v>0</v>
      </c>
      <c r="KL40" s="93">
        <v>1.2690177</v>
      </c>
      <c r="KM40" s="90">
        <f t="shared" si="160"/>
        <v>715.59908102999998</v>
      </c>
      <c r="KN40" s="90">
        <f t="shared" si="161"/>
        <v>758.53502589180005</v>
      </c>
      <c r="KO40" s="90" t="e">
        <f>BW40+CN40+DC40+DS40+EG40+EV40+FK40+GB40+#REF!+#REF!+HJ40+HX40+IQ40+JG40+JU40+KK40+KM40</f>
        <v>#REF!</v>
      </c>
      <c r="KP40" s="90"/>
      <c r="KQ40" s="90">
        <v>0.50815001599999998</v>
      </c>
      <c r="KR40" s="90">
        <f>I40*KQ40</f>
        <v>286.5457940224</v>
      </c>
      <c r="KS40" s="90">
        <v>0.71072749999999996</v>
      </c>
      <c r="KT40" s="90">
        <f t="shared" si="163"/>
        <v>203.65597582105528</v>
      </c>
      <c r="KU40" s="90">
        <f t="shared" si="164"/>
        <v>307.94851443497635</v>
      </c>
      <c r="KV40" s="90">
        <f t="shared" si="165"/>
        <v>322.73</v>
      </c>
      <c r="KW40" s="90">
        <f t="shared" si="535"/>
        <v>338.70443108559925</v>
      </c>
      <c r="KX40" s="90">
        <f t="shared" si="166"/>
        <v>340.48</v>
      </c>
      <c r="KY40" s="90">
        <f t="shared" si="167"/>
        <v>360.09436649426635</v>
      </c>
      <c r="KZ40" s="90">
        <f t="shared" si="168"/>
        <v>360.09436649426635</v>
      </c>
      <c r="LA40" s="90">
        <f t="shared" si="169"/>
        <v>2210.4899999999998</v>
      </c>
      <c r="LB40" s="90">
        <f t="shared" si="170"/>
        <v>3.92</v>
      </c>
      <c r="LC40" s="92">
        <f t="shared" si="171"/>
        <v>26525.879999999997</v>
      </c>
      <c r="LD40" s="92">
        <v>4.21</v>
      </c>
      <c r="LE40" s="92">
        <v>2374.0199999999995</v>
      </c>
      <c r="LF40" s="90">
        <f t="shared" si="172"/>
        <v>4.18</v>
      </c>
      <c r="LG40" s="90">
        <f t="shared" si="173"/>
        <v>2357.1</v>
      </c>
      <c r="LH40" s="90">
        <f t="shared" si="174"/>
        <v>2376.2767499999995</v>
      </c>
      <c r="LI40" s="90">
        <f t="shared" si="175"/>
        <v>4.21</v>
      </c>
      <c r="LJ40" s="90">
        <f t="shared" si="176"/>
        <v>2357.1</v>
      </c>
      <c r="LK40" s="90">
        <f t="shared" si="177"/>
        <v>4.18</v>
      </c>
      <c r="LL40" s="90">
        <f t="shared" si="178"/>
        <v>2357.1</v>
      </c>
      <c r="LM40" s="90">
        <f t="shared" si="179"/>
        <v>4.18</v>
      </c>
      <c r="LN40" s="95">
        <v>0.46</v>
      </c>
      <c r="LO40" s="95">
        <f t="shared" si="180"/>
        <v>259.39</v>
      </c>
      <c r="LP40" s="95"/>
      <c r="LQ40" s="95">
        <f t="shared" si="181"/>
        <v>0</v>
      </c>
      <c r="LR40" s="90"/>
      <c r="LS40" s="90"/>
      <c r="LT40" s="90">
        <f t="shared" si="182"/>
        <v>0</v>
      </c>
      <c r="LU40" s="90"/>
      <c r="LV40" s="90">
        <f t="shared" si="183"/>
        <v>0</v>
      </c>
      <c r="LW40" s="90">
        <f t="shared" si="184"/>
        <v>0</v>
      </c>
      <c r="LX40" s="90"/>
      <c r="LY40" s="90"/>
      <c r="LZ40" s="90">
        <f t="shared" si="185"/>
        <v>0</v>
      </c>
      <c r="MA40" s="90"/>
      <c r="MB40" s="90">
        <f t="shared" si="186"/>
        <v>0</v>
      </c>
      <c r="MC40" s="90">
        <f t="shared" si="187"/>
        <v>0</v>
      </c>
      <c r="MD40" s="90"/>
      <c r="ME40" s="90"/>
      <c r="MF40" s="90">
        <f t="shared" si="188"/>
        <v>0</v>
      </c>
      <c r="MG40" s="90"/>
      <c r="MH40" s="90">
        <f t="shared" si="189"/>
        <v>0</v>
      </c>
      <c r="MI40" s="90">
        <f t="shared" si="190"/>
        <v>0</v>
      </c>
      <c r="MJ40" s="90"/>
      <c r="MK40" s="90"/>
      <c r="ML40" s="90">
        <f t="shared" si="191"/>
        <v>0</v>
      </c>
      <c r="MM40" s="90"/>
      <c r="MN40" s="90">
        <f t="shared" si="192"/>
        <v>0</v>
      </c>
      <c r="MO40" s="90">
        <f t="shared" si="193"/>
        <v>0</v>
      </c>
      <c r="MP40" s="90">
        <f t="shared" si="194"/>
        <v>0</v>
      </c>
      <c r="MQ40" s="90">
        <f t="shared" si="195"/>
        <v>0</v>
      </c>
      <c r="MR40" s="90">
        <f t="shared" si="196"/>
        <v>0</v>
      </c>
      <c r="MS40" s="90">
        <f t="shared" si="197"/>
        <v>0</v>
      </c>
      <c r="MT40" s="95"/>
      <c r="MU40" s="95">
        <f t="shared" si="198"/>
        <v>0</v>
      </c>
      <c r="MV40" s="92">
        <f t="shared" si="199"/>
        <v>0</v>
      </c>
      <c r="MW40" s="95"/>
      <c r="MX40" s="95">
        <f t="shared" si="200"/>
        <v>0</v>
      </c>
      <c r="MY40" s="95"/>
      <c r="MZ40" s="95">
        <f t="shared" si="201"/>
        <v>0</v>
      </c>
      <c r="NA40" s="95"/>
      <c r="NB40" s="95">
        <f t="shared" si="202"/>
        <v>0</v>
      </c>
      <c r="NC40" s="92">
        <f t="shared" si="203"/>
        <v>0</v>
      </c>
      <c r="ND40" s="95"/>
      <c r="NE40" s="95">
        <f t="shared" si="204"/>
        <v>0</v>
      </c>
      <c r="NF40" s="95"/>
      <c r="NG40" s="95">
        <f t="shared" si="205"/>
        <v>0</v>
      </c>
      <c r="NH40" s="95"/>
      <c r="NI40" s="95"/>
      <c r="NJ40" s="95">
        <f t="shared" si="206"/>
        <v>0</v>
      </c>
      <c r="NK40" s="92">
        <f t="shared" si="207"/>
        <v>0</v>
      </c>
      <c r="NL40" s="95"/>
      <c r="NM40" s="95">
        <f t="shared" si="208"/>
        <v>0</v>
      </c>
      <c r="NN40" s="95"/>
      <c r="NO40" s="95">
        <f t="shared" si="209"/>
        <v>0</v>
      </c>
      <c r="NP40" s="95"/>
      <c r="NQ40" s="95">
        <f t="shared" si="210"/>
        <v>0</v>
      </c>
      <c r="NR40" s="92">
        <f t="shared" si="211"/>
        <v>0</v>
      </c>
      <c r="NS40" s="95"/>
      <c r="NT40" s="95">
        <f t="shared" si="212"/>
        <v>0</v>
      </c>
      <c r="NU40" s="95"/>
      <c r="NV40" s="95">
        <f t="shared" si="213"/>
        <v>0</v>
      </c>
      <c r="NW40" s="95"/>
      <c r="NX40" s="95">
        <f t="shared" si="214"/>
        <v>0</v>
      </c>
      <c r="NY40" s="92">
        <f t="shared" si="215"/>
        <v>0</v>
      </c>
      <c r="NZ40" s="95"/>
      <c r="OA40" s="95">
        <f t="shared" si="216"/>
        <v>0</v>
      </c>
      <c r="OB40" s="95"/>
      <c r="OC40" s="95">
        <f t="shared" si="217"/>
        <v>0</v>
      </c>
      <c r="OD40" s="90">
        <v>3197.31</v>
      </c>
      <c r="OE40" s="90">
        <f t="shared" si="218"/>
        <v>5.67</v>
      </c>
      <c r="OF40" s="92">
        <f t="shared" si="219"/>
        <v>38367.72</v>
      </c>
      <c r="OG40" s="96">
        <v>554.39</v>
      </c>
      <c r="OH40" s="96">
        <v>0.98</v>
      </c>
      <c r="OI40" s="90">
        <v>4313.84</v>
      </c>
      <c r="OJ40" s="90">
        <f t="shared" si="220"/>
        <v>7.65</v>
      </c>
      <c r="OK40" s="90">
        <f t="shared" si="221"/>
        <v>3751.7</v>
      </c>
      <c r="OL40" s="90">
        <f t="shared" si="222"/>
        <v>6.65</v>
      </c>
      <c r="OM40" s="90">
        <f t="shared" si="223"/>
        <v>1</v>
      </c>
      <c r="ON40" s="90">
        <v>3761.21</v>
      </c>
      <c r="OO40" s="90">
        <f t="shared" si="224"/>
        <v>6.67</v>
      </c>
      <c r="OP40" s="90">
        <v>3759.4500000000003</v>
      </c>
      <c r="OQ40" s="90">
        <v>6.67</v>
      </c>
      <c r="OR40" s="90">
        <f t="shared" si="225"/>
        <v>0</v>
      </c>
      <c r="OS40" s="90">
        <f t="shared" si="226"/>
        <v>6.67</v>
      </c>
      <c r="OT40" s="90">
        <v>3761.21</v>
      </c>
      <c r="OU40" s="90">
        <f t="shared" si="227"/>
        <v>6.67</v>
      </c>
      <c r="OV40" s="97">
        <v>3197.31</v>
      </c>
      <c r="OW40" s="90">
        <f t="shared" si="228"/>
        <v>3197.31</v>
      </c>
      <c r="OX40" s="90">
        <f t="shared" si="229"/>
        <v>5.67</v>
      </c>
      <c r="OY40" s="90">
        <f>OU40-1</f>
        <v>5.67</v>
      </c>
      <c r="OZ40" s="90"/>
      <c r="PA40" s="90"/>
      <c r="PB40" s="95">
        <f t="shared" si="230"/>
        <v>0</v>
      </c>
      <c r="PC40" s="92">
        <f t="shared" si="231"/>
        <v>0</v>
      </c>
      <c r="PD40" s="90"/>
      <c r="PE40" s="95">
        <f t="shared" si="232"/>
        <v>0</v>
      </c>
      <c r="PF40" s="90">
        <f t="shared" si="233"/>
        <v>8360.24</v>
      </c>
      <c r="PG40" s="90">
        <f t="shared" si="234"/>
        <v>14.83</v>
      </c>
      <c r="PH40" s="90">
        <f t="shared" si="235"/>
        <v>9833.7900000000009</v>
      </c>
      <c r="PI40" s="90">
        <f t="shared" si="236"/>
        <v>17.440000000000001</v>
      </c>
      <c r="PJ40" s="90">
        <f t="shared" si="237"/>
        <v>9833.7900000000009</v>
      </c>
      <c r="PK40" s="90">
        <f t="shared" si="238"/>
        <v>17.440000000000001</v>
      </c>
      <c r="PL40" s="90"/>
      <c r="PM40" s="90">
        <f t="shared" si="239"/>
        <v>250.81</v>
      </c>
      <c r="PN40" s="90">
        <f t="shared" si="240"/>
        <v>0.44</v>
      </c>
      <c r="PO40" s="92">
        <f t="shared" si="241"/>
        <v>3009.7200000000003</v>
      </c>
      <c r="PP40" s="90">
        <f t="shared" si="242"/>
        <v>295.01</v>
      </c>
      <c r="PQ40" s="90">
        <f t="shared" si="243"/>
        <v>0.52</v>
      </c>
      <c r="PR40" s="90">
        <f t="shared" si="244"/>
        <v>295.01</v>
      </c>
      <c r="PS40" s="90">
        <f t="shared" si="245"/>
        <v>0.52</v>
      </c>
      <c r="PT40" s="90">
        <f t="shared" si="246"/>
        <v>8611.0499999999993</v>
      </c>
      <c r="PU40" s="90">
        <f t="shared" si="247"/>
        <v>15.27</v>
      </c>
      <c r="PV40" s="90">
        <f t="shared" si="248"/>
        <v>10128.800000000001</v>
      </c>
      <c r="PW40" s="90">
        <f t="shared" si="249"/>
        <v>17.96</v>
      </c>
      <c r="PX40" s="90">
        <f t="shared" si="250"/>
        <v>10128.800000000001</v>
      </c>
      <c r="PY40" s="90">
        <f t="shared" si="251"/>
        <v>17.96</v>
      </c>
      <c r="PZ40" s="90">
        <f t="shared" si="252"/>
        <v>86.98</v>
      </c>
      <c r="QA40" s="90">
        <f t="shared" si="253"/>
        <v>0.15</v>
      </c>
      <c r="QB40" s="92">
        <f t="shared" si="254"/>
        <v>1043.76</v>
      </c>
      <c r="QC40" s="90">
        <f t="shared" si="255"/>
        <v>102.31</v>
      </c>
      <c r="QD40" s="90">
        <f t="shared" si="256"/>
        <v>0.18</v>
      </c>
      <c r="QE40" s="90">
        <f t="shared" si="257"/>
        <v>102.31</v>
      </c>
      <c r="QF40" s="90">
        <f t="shared" si="258"/>
        <v>0.18</v>
      </c>
      <c r="QG40" s="90">
        <f t="shared" si="259"/>
        <v>8698.0299999999988</v>
      </c>
      <c r="QH40" s="90">
        <f t="shared" si="260"/>
        <v>15.42</v>
      </c>
      <c r="QI40" s="92">
        <f t="shared" si="261"/>
        <v>104376.35999999999</v>
      </c>
      <c r="QJ40" s="90">
        <f t="shared" si="262"/>
        <v>354.12443108559927</v>
      </c>
      <c r="QK40" s="98">
        <f t="shared" si="263"/>
        <v>0.25169999999999998</v>
      </c>
      <c r="QL40" s="90">
        <f t="shared" si="264"/>
        <v>141.93362999999999</v>
      </c>
      <c r="QM40" s="90">
        <f t="shared" si="265"/>
        <v>0.1128</v>
      </c>
      <c r="QN40" s="90">
        <f t="shared" si="266"/>
        <v>63.607919999999993</v>
      </c>
      <c r="QO40" s="90">
        <v>0.21869999999999998</v>
      </c>
      <c r="QP40" s="90">
        <v>0.14579999999999999</v>
      </c>
      <c r="QQ40" s="97">
        <f t="shared" si="267"/>
        <v>205.54154999999997</v>
      </c>
      <c r="QR40" s="97">
        <v>205.54154999999997</v>
      </c>
      <c r="QS40" s="97">
        <f t="shared" si="268"/>
        <v>0</v>
      </c>
      <c r="QT40" s="90"/>
      <c r="QU40" s="90">
        <f t="shared" si="269"/>
        <v>0.1128</v>
      </c>
      <c r="QV40" s="90">
        <f t="shared" si="270"/>
        <v>63.607919999999993</v>
      </c>
      <c r="QW40" s="90">
        <f t="shared" si="271"/>
        <v>205.54154999999997</v>
      </c>
      <c r="QX40" s="90">
        <f t="shared" si="272"/>
        <v>0.36449999999999999</v>
      </c>
      <c r="QY40" s="90"/>
      <c r="QZ40" s="90"/>
      <c r="RA40" s="90"/>
      <c r="RB40" s="90">
        <v>2098.65</v>
      </c>
      <c r="RC40" s="97">
        <f t="shared" si="273"/>
        <v>8698.0299999999988</v>
      </c>
      <c r="RD40" s="97">
        <f t="shared" si="274"/>
        <v>15.42</v>
      </c>
      <c r="RE40" s="90">
        <f t="shared" si="275"/>
        <v>10231.11</v>
      </c>
      <c r="RF40" s="90">
        <f t="shared" si="276"/>
        <v>18.14</v>
      </c>
      <c r="RG40" s="90">
        <f t="shared" si="277"/>
        <v>117.71576898118106</v>
      </c>
      <c r="RH40" s="90">
        <f t="shared" si="278"/>
        <v>10231.11</v>
      </c>
      <c r="RI40" s="90">
        <f t="shared" si="279"/>
        <v>18.14</v>
      </c>
      <c r="RJ40" s="90">
        <v>17.830000000000002</v>
      </c>
      <c r="RK40" s="90">
        <v>0</v>
      </c>
      <c r="RL40" s="90">
        <f t="shared" si="280"/>
        <v>0.30999999999999872</v>
      </c>
      <c r="RM40" s="90">
        <f t="shared" si="281"/>
        <v>105.89608873321656</v>
      </c>
      <c r="RN40" s="90">
        <f t="shared" si="282"/>
        <v>5481.11</v>
      </c>
      <c r="RO40" s="90"/>
      <c r="RP40" s="90"/>
      <c r="RQ40" s="99">
        <v>557</v>
      </c>
      <c r="RR40" s="90">
        <f t="shared" si="283"/>
        <v>5500.7199999999993</v>
      </c>
      <c r="RS40" s="90">
        <f t="shared" si="284"/>
        <v>9.7547792161730804</v>
      </c>
      <c r="RT40" s="90">
        <v>11.28</v>
      </c>
      <c r="RU40" s="90">
        <f t="shared" si="285"/>
        <v>6360.7919999999995</v>
      </c>
      <c r="RV40" s="90">
        <f t="shared" si="286"/>
        <v>0.62799154297854098</v>
      </c>
      <c r="RW40" s="90">
        <v>10.43</v>
      </c>
      <c r="RX40" s="90">
        <f t="shared" si="287"/>
        <v>10.951499999999999</v>
      </c>
      <c r="RY40" s="90">
        <f t="shared" si="288"/>
        <v>6175.5508499999996</v>
      </c>
      <c r="RZ40" s="90">
        <f t="shared" si="289"/>
        <v>1629.2408753910411</v>
      </c>
      <c r="SA40" s="90">
        <f t="shared" si="290"/>
        <v>728.91764934871424</v>
      </c>
      <c r="SB40" s="90">
        <f t="shared" si="291"/>
        <v>1102.1974992749733</v>
      </c>
      <c r="SC40" s="90">
        <f t="shared" si="292"/>
        <v>2002.5207253172998</v>
      </c>
      <c r="SD40" s="90">
        <f t="shared" si="293"/>
        <v>2002.5207253173</v>
      </c>
      <c r="SE40" s="90">
        <f t="shared" si="294"/>
        <v>2032.6893324888852</v>
      </c>
      <c r="SF40" s="90">
        <f t="shared" si="295"/>
        <v>2002.4060617039167</v>
      </c>
      <c r="SG40" s="90">
        <f t="shared" si="296"/>
        <v>0.11466361338307252</v>
      </c>
      <c r="SH40" s="90">
        <f t="shared" si="297"/>
        <v>2002.5207253172998</v>
      </c>
      <c r="SI40" s="90">
        <f t="shared" si="298"/>
        <v>3.5511983070000004</v>
      </c>
      <c r="SJ40" s="90">
        <f t="shared" si="299"/>
        <v>3.5509949666677012</v>
      </c>
      <c r="SK40" s="90"/>
      <c r="SL40" s="90"/>
      <c r="SM40" s="90"/>
      <c r="SN40" s="90">
        <f t="shared" si="300"/>
        <v>2143.9100000000003</v>
      </c>
      <c r="SO40" s="90" t="e">
        <f>RU40-#REF!-#REF!-HZ40-LT40-LZ40-MF40-ML40-QL40-QN40-SD40</f>
        <v>#REF!</v>
      </c>
      <c r="SP40" s="90">
        <f t="shared" si="301"/>
        <v>2098.65</v>
      </c>
      <c r="SQ40" s="90">
        <f t="shared" si="302"/>
        <v>2210.4899999999998</v>
      </c>
      <c r="SR40" s="90">
        <f t="shared" si="303"/>
        <v>3.7216705089554889</v>
      </c>
      <c r="SS40" s="90">
        <f t="shared" si="304"/>
        <v>3.9200035467281431</v>
      </c>
      <c r="ST40" s="90">
        <f t="shared" si="305"/>
        <v>2218.9130000000005</v>
      </c>
      <c r="SU40" s="90">
        <v>3.7216705089554889</v>
      </c>
      <c r="SV40" s="90">
        <f t="shared" si="306"/>
        <v>3.93</v>
      </c>
      <c r="SW40" s="90">
        <v>3.92</v>
      </c>
      <c r="SX40" s="90">
        <f t="shared" si="307"/>
        <v>2210.4899999999998</v>
      </c>
      <c r="SY40" s="90">
        <v>3.7216705089554889</v>
      </c>
      <c r="SZ40" s="90">
        <f t="shared" si="308"/>
        <v>2098.65</v>
      </c>
      <c r="TA40" s="90">
        <f t="shared" si="309"/>
        <v>0</v>
      </c>
      <c r="TB40" s="90">
        <v>0</v>
      </c>
      <c r="TC40" s="90">
        <f t="shared" si="310"/>
        <v>1412.9054499999988</v>
      </c>
      <c r="TD40" s="90" t="e">
        <f>#REF!+#REF!</f>
        <v>#REF!</v>
      </c>
      <c r="TE40" s="90" t="e">
        <f t="shared" si="311"/>
        <v>#REF!</v>
      </c>
      <c r="TF40" s="90">
        <v>1327.2254499999995</v>
      </c>
      <c r="TG40" s="90">
        <f t="shared" si="312"/>
        <v>22.212728383509457</v>
      </c>
      <c r="TH40" s="95"/>
      <c r="TI40" s="95"/>
      <c r="TJ40" s="95"/>
      <c r="TK40" s="95"/>
      <c r="TL40" s="95"/>
      <c r="TM40" s="95">
        <f t="shared" si="313"/>
        <v>0</v>
      </c>
      <c r="TN40" s="95">
        <f t="shared" si="314"/>
        <v>6360.7919999999995</v>
      </c>
      <c r="TO40" s="95">
        <f t="shared" si="315"/>
        <v>22.212728383509457</v>
      </c>
      <c r="TP40" s="95"/>
      <c r="TQ40" s="95">
        <f t="shared" si="316"/>
        <v>11.28</v>
      </c>
      <c r="TR40" s="95"/>
      <c r="TS40" s="95"/>
      <c r="TT40" s="95"/>
      <c r="TU40" s="95"/>
      <c r="TV40" s="95"/>
      <c r="TW40" s="95"/>
      <c r="TX40" s="95"/>
      <c r="TY40" s="95"/>
      <c r="TZ40" s="95">
        <f t="shared" si="317"/>
        <v>3.2313829787234045</v>
      </c>
      <c r="UA40" s="95">
        <f t="shared" si="318"/>
        <v>0.49632000000000004</v>
      </c>
      <c r="UB40" s="90">
        <v>0</v>
      </c>
      <c r="UC40" s="90">
        <f t="shared" si="319"/>
        <v>0</v>
      </c>
      <c r="UD40" s="90">
        <f t="shared" si="320"/>
        <v>0</v>
      </c>
      <c r="UE40" s="90">
        <f t="shared" si="321"/>
        <v>0</v>
      </c>
      <c r="UF40" s="90">
        <f t="shared" si="322"/>
        <v>6360.7919999999995</v>
      </c>
      <c r="UG40" s="91">
        <f t="shared" si="323"/>
        <v>0</v>
      </c>
      <c r="UH40" s="95">
        <f t="shared" si="324"/>
        <v>22.212728383509457</v>
      </c>
      <c r="UI40" s="95">
        <f t="shared" si="325"/>
        <v>6360.7919999999995</v>
      </c>
      <c r="UJ40" s="101">
        <f t="shared" si="326"/>
        <v>0</v>
      </c>
      <c r="UK40" s="101">
        <f t="shared" si="327"/>
        <v>22.212728383509457</v>
      </c>
      <c r="UL40" s="90" t="e">
        <f>(#REF!+#REF!+HZ40+LT40+LZ40+MF40+ML40+QL40+QN40+SN40+TC40+TM40+UC40)/I40</f>
        <v>#REF!</v>
      </c>
      <c r="UN40" s="90" t="e">
        <f>#REF!/I40</f>
        <v>#REF!</v>
      </c>
      <c r="UO40" s="90" t="e">
        <f>#REF!/I40</f>
        <v>#REF!</v>
      </c>
      <c r="UP40" s="90">
        <v>1.1499999999999999</v>
      </c>
      <c r="UQ40" s="90" t="e">
        <f t="shared" si="328"/>
        <v>#REF!</v>
      </c>
      <c r="UR40" s="90">
        <f t="shared" si="329"/>
        <v>5500.7199999999993</v>
      </c>
      <c r="US40" s="90">
        <f t="shared" si="330"/>
        <v>6584.4100000000008</v>
      </c>
      <c r="UT40" s="90">
        <f t="shared" si="331"/>
        <v>6584.4100000000008</v>
      </c>
      <c r="UU40" s="90">
        <f t="shared" si="516"/>
        <v>6843.8000000000011</v>
      </c>
      <c r="UV40" s="90">
        <f t="shared" si="333"/>
        <v>6774.4100000000008</v>
      </c>
      <c r="UW40" s="90">
        <f t="shared" si="334"/>
        <v>5.51</v>
      </c>
      <c r="UX40" s="90">
        <f t="shared" si="335"/>
        <v>3.92</v>
      </c>
      <c r="UY40" s="90">
        <f t="shared" si="336"/>
        <v>3.8019329668380926</v>
      </c>
      <c r="UZ40" s="100">
        <f t="shared" si="337"/>
        <v>3.5511983070000004</v>
      </c>
      <c r="VA40" s="90">
        <f t="shared" si="338"/>
        <v>0.61</v>
      </c>
      <c r="VB40" s="90">
        <f t="shared" si="339"/>
        <v>0.98</v>
      </c>
      <c r="VC40" s="90">
        <f t="shared" si="340"/>
        <v>0</v>
      </c>
      <c r="VD40" s="90">
        <f t="shared" si="341"/>
        <v>0</v>
      </c>
      <c r="VE40" s="90">
        <f t="shared" si="342"/>
        <v>0</v>
      </c>
      <c r="VF40" s="90">
        <f t="shared" si="343"/>
        <v>0</v>
      </c>
      <c r="VG40" s="90">
        <f t="shared" si="344"/>
        <v>0</v>
      </c>
      <c r="VH40" s="90">
        <f t="shared" si="345"/>
        <v>0</v>
      </c>
      <c r="VI40" s="90">
        <f t="shared" si="346"/>
        <v>0</v>
      </c>
      <c r="VJ40" s="90">
        <f t="shared" si="347"/>
        <v>0</v>
      </c>
      <c r="VK40" s="90">
        <f t="shared" si="348"/>
        <v>0.92</v>
      </c>
      <c r="VL40" s="90">
        <f t="shared" si="349"/>
        <v>3.64</v>
      </c>
      <c r="VM40" s="90">
        <f t="shared" si="350"/>
        <v>5.67</v>
      </c>
      <c r="VN40" s="90">
        <f t="shared" si="351"/>
        <v>0</v>
      </c>
      <c r="VO40" s="90">
        <f t="shared" si="352"/>
        <v>5.67</v>
      </c>
      <c r="VP40" s="97">
        <v>0</v>
      </c>
      <c r="VQ40" s="97">
        <v>5.67</v>
      </c>
      <c r="VR40" s="90">
        <f t="shared" si="353"/>
        <v>0.44</v>
      </c>
      <c r="VS40" s="90">
        <f t="shared" si="354"/>
        <v>0.15</v>
      </c>
      <c r="VT40" s="90">
        <v>0.11989898989898991</v>
      </c>
      <c r="VU40" s="90">
        <f t="shared" si="355"/>
        <v>0.15410000000000001</v>
      </c>
      <c r="VV40" s="90">
        <v>0.38175323599898991</v>
      </c>
      <c r="VW40" s="90">
        <f t="shared" si="356"/>
        <v>0.59</v>
      </c>
      <c r="VX40" s="90">
        <f t="shared" si="357"/>
        <v>15.41</v>
      </c>
      <c r="VY40" s="90">
        <f t="shared" si="358"/>
        <v>15.41</v>
      </c>
      <c r="VZ40" s="90">
        <f t="shared" si="359"/>
        <v>0</v>
      </c>
      <c r="WA40" s="90"/>
      <c r="WB40" s="90">
        <f t="shared" si="360"/>
        <v>15.41</v>
      </c>
      <c r="WC40" s="90">
        <f t="shared" si="361"/>
        <v>0</v>
      </c>
      <c r="WD40" s="90"/>
      <c r="WE40" s="90">
        <v>15.41</v>
      </c>
      <c r="WF40" s="90"/>
      <c r="WG40" s="90">
        <f t="shared" si="362"/>
        <v>8689.6990000000005</v>
      </c>
      <c r="WH40" s="90">
        <f t="shared" si="363"/>
        <v>8689.6990000000005</v>
      </c>
      <c r="WI40" s="90">
        <f t="shared" si="364"/>
        <v>8698.0299999999988</v>
      </c>
      <c r="WJ40" s="90">
        <f t="shared" si="365"/>
        <v>5500.7199999999993</v>
      </c>
      <c r="WK40" s="97">
        <v>3197.31</v>
      </c>
      <c r="WL40" s="97">
        <v>5.67</v>
      </c>
      <c r="WM40" s="90">
        <f t="shared" si="366"/>
        <v>3197.31</v>
      </c>
      <c r="WN40" s="90">
        <f t="shared" si="367"/>
        <v>5.67</v>
      </c>
      <c r="WO40" s="90"/>
      <c r="WP40" s="97">
        <v>15.41</v>
      </c>
      <c r="WQ40" s="90">
        <f t="shared" si="368"/>
        <v>15.41</v>
      </c>
      <c r="WR40" s="91">
        <f t="shared" si="369"/>
        <v>136.61347517730496</v>
      </c>
      <c r="WS40" s="91">
        <f t="shared" si="370"/>
        <v>136.61347517730496</v>
      </c>
      <c r="WT40" s="90">
        <f t="shared" si="371"/>
        <v>8689.7000000000007</v>
      </c>
      <c r="WU40" s="90">
        <f t="shared" si="372"/>
        <v>8698.0299999999988</v>
      </c>
      <c r="WV40" s="90">
        <f t="shared" si="373"/>
        <v>-8.3299999999981083</v>
      </c>
      <c r="WW40" s="90"/>
      <c r="WX40" s="90"/>
      <c r="WY40" s="90"/>
      <c r="WZ40" s="90">
        <f t="shared" si="374"/>
        <v>2.2919959595959596</v>
      </c>
      <c r="XA40" s="90">
        <v>0</v>
      </c>
      <c r="XB40" s="90">
        <f t="shared" si="375"/>
        <v>2.2919959595959596</v>
      </c>
      <c r="XC40" s="90">
        <f t="shared" si="376"/>
        <v>0.35759999999999997</v>
      </c>
      <c r="XD40" s="90">
        <f t="shared" si="377"/>
        <v>0.1204040404040404</v>
      </c>
      <c r="XE40" s="90"/>
      <c r="XF40" s="90">
        <f t="shared" si="378"/>
        <v>11.92</v>
      </c>
      <c r="XG40" s="90">
        <v>2.3536539280014179</v>
      </c>
      <c r="XH40" s="20">
        <v>11.28</v>
      </c>
      <c r="XI40" s="20">
        <v>0</v>
      </c>
      <c r="XJ40" s="20"/>
      <c r="XK40" s="20"/>
      <c r="XL40" s="20"/>
      <c r="XM40" s="20">
        <f t="shared" si="379"/>
        <v>11.28</v>
      </c>
      <c r="XN40" s="91">
        <f t="shared" si="380"/>
        <v>136.61347517730496</v>
      </c>
      <c r="XO40" s="20">
        <f t="shared" si="381"/>
        <v>11.28</v>
      </c>
      <c r="XP40" s="90">
        <f t="shared" si="382"/>
        <v>11.28</v>
      </c>
      <c r="XQ40" s="91">
        <f t="shared" si="383"/>
        <v>136.61347517730496</v>
      </c>
      <c r="XR40" s="102"/>
      <c r="XS40" s="90">
        <f t="shared" si="384"/>
        <v>3.64</v>
      </c>
      <c r="XT40" s="90">
        <f t="shared" si="385"/>
        <v>5.51</v>
      </c>
      <c r="XU40" s="90">
        <f t="shared" si="386"/>
        <v>3.92</v>
      </c>
      <c r="XV40" s="90">
        <f t="shared" si="387"/>
        <v>0.61</v>
      </c>
      <c r="XW40" s="90">
        <f t="shared" si="388"/>
        <v>0.61</v>
      </c>
      <c r="XX40" s="90">
        <f t="shared" si="389"/>
        <v>0</v>
      </c>
      <c r="XY40" s="90">
        <f t="shared" si="390"/>
        <v>0.98</v>
      </c>
      <c r="XZ40" s="90">
        <f t="shared" si="391"/>
        <v>0</v>
      </c>
      <c r="YA40" s="90">
        <f t="shared" si="392"/>
        <v>0</v>
      </c>
      <c r="YB40" s="90">
        <f t="shared" si="537"/>
        <v>0</v>
      </c>
      <c r="YC40" s="90">
        <f t="shared" si="537"/>
        <v>0</v>
      </c>
      <c r="YD40" s="90">
        <f t="shared" si="394"/>
        <v>0.98</v>
      </c>
      <c r="YE40" s="90">
        <f t="shared" si="395"/>
        <v>5.67</v>
      </c>
      <c r="YF40" s="90">
        <f t="shared" si="396"/>
        <v>0.59</v>
      </c>
      <c r="YG40" s="90">
        <f t="shared" si="397"/>
        <v>15.41</v>
      </c>
      <c r="YI40" s="103" t="s">
        <v>523</v>
      </c>
      <c r="YK40" s="90">
        <f t="shared" si="398"/>
        <v>1.07</v>
      </c>
      <c r="YL40" s="90">
        <f t="shared" si="538"/>
        <v>0.61</v>
      </c>
      <c r="YM40" s="90">
        <f t="shared" si="538"/>
        <v>0.98</v>
      </c>
      <c r="YN40" s="90">
        <f t="shared" si="400"/>
        <v>3.64</v>
      </c>
      <c r="YO40" s="90">
        <f t="shared" si="401"/>
        <v>9.11</v>
      </c>
      <c r="YP40" s="90">
        <f t="shared" si="402"/>
        <v>0</v>
      </c>
      <c r="YQ40" s="90">
        <f t="shared" si="403"/>
        <v>15.41</v>
      </c>
      <c r="YR40" s="90">
        <f t="shared" si="404"/>
        <v>0</v>
      </c>
      <c r="YS40" s="104">
        <f t="shared" si="405"/>
        <v>15.41</v>
      </c>
      <c r="YT40" s="104">
        <f t="shared" si="406"/>
        <v>0</v>
      </c>
      <c r="YY40" s="90">
        <f t="shared" si="407"/>
        <v>6.8599999999999994</v>
      </c>
      <c r="YZ40" s="90">
        <f t="shared" si="408"/>
        <v>4.18</v>
      </c>
      <c r="ZA40" s="90">
        <f t="shared" si="409"/>
        <v>0.65</v>
      </c>
      <c r="ZB40" s="90">
        <f t="shared" si="410"/>
        <v>2.0299999999999998</v>
      </c>
      <c r="ZC40" s="90">
        <f t="shared" si="411"/>
        <v>0</v>
      </c>
      <c r="ZD40" s="90">
        <f t="shared" si="412"/>
        <v>0</v>
      </c>
      <c r="ZE40" s="90">
        <f t="shared" si="413"/>
        <v>0</v>
      </c>
      <c r="ZF40" s="90">
        <f t="shared" si="414"/>
        <v>0</v>
      </c>
      <c r="ZG40" s="90">
        <f t="shared" si="415"/>
        <v>0</v>
      </c>
      <c r="ZH40" s="90">
        <f t="shared" si="416"/>
        <v>0</v>
      </c>
      <c r="ZI40" s="90">
        <f t="shared" si="417"/>
        <v>0</v>
      </c>
      <c r="ZJ40" s="90">
        <f t="shared" si="418"/>
        <v>0</v>
      </c>
      <c r="ZK40" s="90">
        <f t="shared" si="419"/>
        <v>0</v>
      </c>
      <c r="ZL40" s="90">
        <f t="shared" si="420"/>
        <v>0.02</v>
      </c>
      <c r="ZM40" s="90">
        <f t="shared" si="421"/>
        <v>4.1100000000000003</v>
      </c>
      <c r="ZN40" s="90">
        <f t="shared" si="422"/>
        <v>7.6999999999999993</v>
      </c>
      <c r="ZO40" s="90">
        <f t="shared" si="423"/>
        <v>6.65</v>
      </c>
      <c r="ZP40" s="90">
        <f t="shared" si="424"/>
        <v>5.67</v>
      </c>
      <c r="ZQ40" s="90">
        <f t="shared" si="425"/>
        <v>0</v>
      </c>
      <c r="ZR40" s="90">
        <f t="shared" si="426"/>
        <v>5.67</v>
      </c>
      <c r="ZS40" s="97">
        <v>227</v>
      </c>
      <c r="ZT40" s="97">
        <v>230.38</v>
      </c>
      <c r="ZU40" s="90">
        <f t="shared" si="427"/>
        <v>0.52</v>
      </c>
      <c r="ZV40" s="90">
        <f t="shared" si="428"/>
        <v>0.18</v>
      </c>
      <c r="ZW40" s="90">
        <v>0.11989898989898991</v>
      </c>
      <c r="ZX40" s="90">
        <f t="shared" si="429"/>
        <v>0.1734</v>
      </c>
      <c r="ZY40" s="90">
        <v>0.38175323599898991</v>
      </c>
      <c r="ZZ40" s="90">
        <f t="shared" si="430"/>
        <v>0.7</v>
      </c>
      <c r="AAA40" s="90">
        <f t="shared" si="431"/>
        <v>17.34</v>
      </c>
      <c r="AAB40" s="90">
        <f t="shared" si="432"/>
        <v>17.34</v>
      </c>
      <c r="AAC40" s="90">
        <f t="shared" si="433"/>
        <v>0</v>
      </c>
      <c r="AAD40" s="90"/>
      <c r="AAE40" s="90">
        <f t="shared" si="434"/>
        <v>17.34</v>
      </c>
      <c r="AAF40" s="90">
        <v>15.41</v>
      </c>
      <c r="AAG40" s="90">
        <f t="shared" si="435"/>
        <v>112.52433484750162</v>
      </c>
      <c r="AAH40" s="90">
        <f t="shared" si="436"/>
        <v>0</v>
      </c>
      <c r="AAI40" s="90">
        <v>0</v>
      </c>
      <c r="AAJ40" s="90"/>
      <c r="AAK40" s="1">
        <v>17.13</v>
      </c>
      <c r="AAL40" s="104">
        <f t="shared" si="437"/>
        <v>0.21000000000000085</v>
      </c>
      <c r="AAM40" s="103" t="s">
        <v>524</v>
      </c>
      <c r="AAN40" s="105">
        <v>6.8900000000000006</v>
      </c>
      <c r="AAO40" s="90">
        <f t="shared" si="438"/>
        <v>7.6599999999999993</v>
      </c>
      <c r="AAP40" s="90">
        <v>4.21</v>
      </c>
      <c r="AAQ40" s="90">
        <f t="shared" si="439"/>
        <v>4.18</v>
      </c>
      <c r="AAR40" s="90">
        <v>0.65</v>
      </c>
      <c r="AAS40" s="90">
        <f t="shared" si="440"/>
        <v>0.99</v>
      </c>
      <c r="AAT40" s="90">
        <f t="shared" si="441"/>
        <v>152.30769230769229</v>
      </c>
      <c r="AAU40" s="90">
        <v>2.0299999999999998</v>
      </c>
      <c r="AAV40" s="90">
        <f t="shared" si="442"/>
        <v>2.0299999999999998</v>
      </c>
      <c r="AAW40" s="90">
        <f t="shared" si="443"/>
        <v>100</v>
      </c>
      <c r="AAX40" s="90">
        <f t="shared" si="444"/>
        <v>0.46</v>
      </c>
      <c r="AAY40" s="90">
        <f t="shared" si="445"/>
        <v>0</v>
      </c>
      <c r="AAZ40" s="90">
        <f t="shared" si="446"/>
        <v>0</v>
      </c>
      <c r="ABA40" s="90">
        <f t="shared" si="447"/>
        <v>0</v>
      </c>
      <c r="ABB40" s="90">
        <f t="shared" si="448"/>
        <v>0</v>
      </c>
      <c r="ABC40" s="90">
        <v>0</v>
      </c>
      <c r="ABD40" s="90">
        <f t="shared" si="449"/>
        <v>0</v>
      </c>
      <c r="ABE40" s="90"/>
      <c r="ABF40" s="90">
        <v>0</v>
      </c>
      <c r="ABG40" s="90">
        <f t="shared" si="450"/>
        <v>0</v>
      </c>
      <c r="ABH40" s="90"/>
      <c r="ABI40" s="90">
        <f t="shared" si="451"/>
        <v>0</v>
      </c>
      <c r="ABJ40" s="90">
        <f t="shared" si="452"/>
        <v>0</v>
      </c>
      <c r="ABK40" s="90">
        <v>0</v>
      </c>
      <c r="ABL40" s="90">
        <f t="shared" si="453"/>
        <v>0</v>
      </c>
      <c r="ABM40" s="90">
        <f t="shared" si="454"/>
        <v>0</v>
      </c>
      <c r="ABN40" s="90">
        <f t="shared" si="455"/>
        <v>0.02</v>
      </c>
      <c r="ABO40" s="90">
        <v>3.91</v>
      </c>
      <c r="ABP40" s="90">
        <f t="shared" si="456"/>
        <v>4.1100000000000003</v>
      </c>
      <c r="ABQ40" s="90">
        <f t="shared" si="457"/>
        <v>105.1150895140665</v>
      </c>
      <c r="ABR40" s="90">
        <f t="shared" si="458"/>
        <v>7.6999999999999993</v>
      </c>
      <c r="ABS40" s="90">
        <f t="shared" si="459"/>
        <v>6.65</v>
      </c>
      <c r="ABT40" s="90">
        <v>5.67</v>
      </c>
      <c r="ABU40" s="90">
        <f t="shared" si="460"/>
        <v>5.67</v>
      </c>
      <c r="ABV40" s="90">
        <f t="shared" si="461"/>
        <v>100</v>
      </c>
      <c r="ABW40" s="90">
        <f t="shared" si="462"/>
        <v>0</v>
      </c>
      <c r="ABX40" s="90">
        <f t="shared" si="463"/>
        <v>5.67</v>
      </c>
      <c r="ABY40" s="97">
        <v>227</v>
      </c>
      <c r="ABZ40" s="97">
        <v>230.38</v>
      </c>
      <c r="ACA40" s="90">
        <f t="shared" si="464"/>
        <v>0.52</v>
      </c>
      <c r="ACB40" s="90">
        <f t="shared" si="465"/>
        <v>0.18</v>
      </c>
      <c r="ACC40" s="90">
        <v>0.11989898989898991</v>
      </c>
      <c r="ACD40" s="90">
        <f t="shared" si="466"/>
        <v>0.17679999999999996</v>
      </c>
      <c r="ACE40" s="90">
        <v>0.38175323599898991</v>
      </c>
      <c r="ACF40" s="90">
        <v>0.66</v>
      </c>
      <c r="ACG40" s="90">
        <f t="shared" si="467"/>
        <v>0.7</v>
      </c>
      <c r="ACH40" s="90">
        <f t="shared" si="468"/>
        <v>106.06060606060606</v>
      </c>
      <c r="ACI40" s="90">
        <f t="shared" si="469"/>
        <v>18.139999999999997</v>
      </c>
      <c r="ACJ40" s="90">
        <f t="shared" si="470"/>
        <v>17.679999999999996</v>
      </c>
      <c r="ACK40" s="90">
        <f t="shared" si="471"/>
        <v>-0.46000000000000085</v>
      </c>
      <c r="ACL40" s="90"/>
      <c r="ACM40" s="90">
        <f t="shared" si="472"/>
        <v>18.139999999999997</v>
      </c>
      <c r="ACN40" s="90">
        <f t="shared" si="473"/>
        <v>0</v>
      </c>
      <c r="ACO40" s="90">
        <f t="shared" si="474"/>
        <v>18.139999999999997</v>
      </c>
      <c r="ACP40" s="90">
        <v>17.13</v>
      </c>
      <c r="ACQ40" s="90">
        <f t="shared" si="475"/>
        <v>105.89608873321656</v>
      </c>
      <c r="ACR40" s="90">
        <f t="shared" si="476"/>
        <v>0</v>
      </c>
      <c r="ACS40" s="90">
        <v>0</v>
      </c>
      <c r="ACT40" s="90"/>
      <c r="ACU40" s="90">
        <f t="shared" si="477"/>
        <v>18.003629999999998</v>
      </c>
      <c r="ACV40" s="90">
        <f t="shared" si="478"/>
        <v>-0.13636999999999944</v>
      </c>
      <c r="ACX40" s="106" t="s">
        <v>460</v>
      </c>
      <c r="ACY40" s="107">
        <f>30000</f>
        <v>30000</v>
      </c>
      <c r="ACZ40" s="107">
        <f>30000+70000</f>
        <v>100000</v>
      </c>
      <c r="ADB40" s="90">
        <f t="shared" si="479"/>
        <v>4.1100000000000003</v>
      </c>
      <c r="ADC40" s="90">
        <f t="shared" si="480"/>
        <v>7.66</v>
      </c>
      <c r="ADD40" s="90">
        <f t="shared" si="481"/>
        <v>4.18</v>
      </c>
      <c r="ADE40" s="90">
        <f t="shared" si="517"/>
        <v>1.45</v>
      </c>
      <c r="ADF40" s="90">
        <f t="shared" si="483"/>
        <v>0.99</v>
      </c>
      <c r="ADG40" s="90">
        <f t="shared" si="539"/>
        <v>0.46</v>
      </c>
      <c r="ADH40" s="90">
        <f t="shared" si="539"/>
        <v>0</v>
      </c>
      <c r="ADI40" s="90">
        <f t="shared" si="539"/>
        <v>0</v>
      </c>
      <c r="ADJ40" s="90">
        <f t="shared" si="485"/>
        <v>2.0299999999999998</v>
      </c>
      <c r="ADK40" s="90">
        <f t="shared" si="486"/>
        <v>0</v>
      </c>
      <c r="ADL40" s="90">
        <f t="shared" si="487"/>
        <v>0</v>
      </c>
      <c r="ADM40" s="90">
        <f t="shared" si="540"/>
        <v>0</v>
      </c>
      <c r="ADN40" s="90">
        <f t="shared" si="540"/>
        <v>0</v>
      </c>
      <c r="ADO40" s="90">
        <f t="shared" si="489"/>
        <v>2.0299999999999998</v>
      </c>
      <c r="ADP40" s="90">
        <f t="shared" si="490"/>
        <v>5.67</v>
      </c>
      <c r="ADQ40" s="90">
        <f t="shared" si="491"/>
        <v>0.7</v>
      </c>
      <c r="ADR40" s="90">
        <f t="shared" si="492"/>
        <v>18.139999999999997</v>
      </c>
      <c r="ADU40" s="90">
        <f t="shared" si="493"/>
        <v>1.1499999999999999</v>
      </c>
      <c r="ADV40" s="90">
        <f t="shared" si="494"/>
        <v>0.99</v>
      </c>
      <c r="ADW40" s="90">
        <f t="shared" si="495"/>
        <v>2.0299999999999998</v>
      </c>
      <c r="ADX40" s="90">
        <f t="shared" si="496"/>
        <v>4.1100000000000003</v>
      </c>
      <c r="ADY40" s="90">
        <f t="shared" si="497"/>
        <v>9.3999999999999986</v>
      </c>
      <c r="ADZ40" s="90">
        <f t="shared" si="498"/>
        <v>0</v>
      </c>
      <c r="AEA40" s="90">
        <f t="shared" si="499"/>
        <v>18.139999999999997</v>
      </c>
      <c r="AEB40" s="90">
        <f t="shared" si="500"/>
        <v>0</v>
      </c>
      <c r="AEC40" s="104">
        <f t="shared" si="501"/>
        <v>17.68</v>
      </c>
      <c r="AED40" s="104">
        <f t="shared" si="502"/>
        <v>0.4599999999999973</v>
      </c>
      <c r="AEG40" s="1">
        <v>6.8900000000000006</v>
      </c>
      <c r="AEH40" s="1">
        <v>4.21</v>
      </c>
      <c r="AEI40" s="1">
        <v>0.65</v>
      </c>
      <c r="AEJ40" s="1">
        <v>2.0299999999999998</v>
      </c>
      <c r="AEK40" s="1">
        <v>0</v>
      </c>
      <c r="AEL40" s="1">
        <v>0</v>
      </c>
      <c r="AEM40" s="1">
        <v>0</v>
      </c>
      <c r="AEN40" s="1">
        <v>0</v>
      </c>
      <c r="AEO40" s="1">
        <v>0</v>
      </c>
      <c r="AEP40" s="1">
        <v>0</v>
      </c>
      <c r="AEQ40" s="1">
        <v>0</v>
      </c>
      <c r="AER40" s="1">
        <v>0</v>
      </c>
      <c r="AES40" s="1">
        <v>0</v>
      </c>
      <c r="AET40" s="1">
        <v>0</v>
      </c>
      <c r="AEU40" s="1">
        <v>0</v>
      </c>
      <c r="AEV40" s="1">
        <v>0.02</v>
      </c>
      <c r="AEW40" s="1">
        <v>3.91</v>
      </c>
      <c r="AEX40" s="1">
        <v>7.6999999999999993</v>
      </c>
      <c r="AEY40" s="1">
        <v>6.65</v>
      </c>
      <c r="AEZ40" s="1">
        <v>5.67</v>
      </c>
      <c r="AFA40" s="1">
        <v>0</v>
      </c>
      <c r="AFB40" s="1">
        <v>5.67</v>
      </c>
      <c r="AFC40" s="1">
        <v>227</v>
      </c>
      <c r="AFD40" s="1">
        <v>230.38</v>
      </c>
      <c r="AFE40" s="1">
        <v>0.49</v>
      </c>
      <c r="AFF40" s="1">
        <v>0.17</v>
      </c>
      <c r="AFG40" s="1">
        <v>0.11989898989898991</v>
      </c>
      <c r="AFH40" s="1">
        <v>0.17129999999999998</v>
      </c>
      <c r="AFI40" s="1">
        <v>0.38175323599898991</v>
      </c>
      <c r="AFJ40" s="1">
        <v>0.66</v>
      </c>
      <c r="AFK40" s="1">
        <v>17.13</v>
      </c>
      <c r="AFL40" s="1">
        <v>17.13</v>
      </c>
      <c r="AFM40" s="1">
        <v>0</v>
      </c>
      <c r="AFO40" s="1">
        <v>17.13</v>
      </c>
      <c r="AFP40" s="1">
        <v>0</v>
      </c>
      <c r="AFQ40" s="1">
        <v>17.13</v>
      </c>
      <c r="AFX40" s="1">
        <v>17.84</v>
      </c>
    </row>
    <row r="41" spans="1:856" s="1" customFormat="1" ht="63.75" customHeight="1">
      <c r="A41" s="88">
        <v>33</v>
      </c>
      <c r="B41" s="20"/>
      <c r="C41" s="89" t="s">
        <v>525</v>
      </c>
      <c r="D41" s="20"/>
      <c r="E41" s="20" t="s">
        <v>437</v>
      </c>
      <c r="F41" s="20" t="s">
        <v>438</v>
      </c>
      <c r="G41" s="20">
        <v>0.8</v>
      </c>
      <c r="H41" s="20">
        <v>568.9</v>
      </c>
      <c r="I41" s="20">
        <f>568.9+0.4+0.8-0.7-0.6-0.1-0.8-0.8-1.6</f>
        <v>565.49999999999989</v>
      </c>
      <c r="J41" s="20">
        <f t="shared" si="0"/>
        <v>452.39999999999992</v>
      </c>
      <c r="K41" s="20">
        <v>12</v>
      </c>
      <c r="L41" s="20"/>
      <c r="M41" s="20"/>
      <c r="N41" s="20"/>
      <c r="O41" s="90">
        <f t="shared" si="1"/>
        <v>0</v>
      </c>
      <c r="P41" s="20"/>
      <c r="Q41" s="20"/>
      <c r="R41" s="90">
        <f t="shared" si="2"/>
        <v>0</v>
      </c>
      <c r="S41" s="20">
        <v>58.2</v>
      </c>
      <c r="T41" s="20">
        <v>2.6</v>
      </c>
      <c r="U41" s="20">
        <v>3.13</v>
      </c>
      <c r="V41" s="91">
        <f t="shared" si="3"/>
        <v>473.63</v>
      </c>
      <c r="W41" s="20">
        <v>2.1000000000000001E-2</v>
      </c>
      <c r="X41" s="20">
        <f t="shared" si="4"/>
        <v>33.42</v>
      </c>
      <c r="Y41" s="91">
        <f t="shared" si="5"/>
        <v>40.85</v>
      </c>
      <c r="Z41" s="20"/>
      <c r="AA41" s="20"/>
      <c r="AB41" s="20"/>
      <c r="AC41" s="91">
        <f t="shared" si="6"/>
        <v>514.48</v>
      </c>
      <c r="AD41" s="90">
        <f t="shared" si="7"/>
        <v>0.91</v>
      </c>
      <c r="AE41" s="92">
        <f t="shared" si="8"/>
        <v>6173.76</v>
      </c>
      <c r="AF41" s="20">
        <v>33</v>
      </c>
      <c r="AG41" s="20">
        <v>32</v>
      </c>
      <c r="AH41" s="20">
        <v>32</v>
      </c>
      <c r="AI41" s="20">
        <f>23+6</f>
        <v>29</v>
      </c>
      <c r="AJ41" s="20">
        <v>1.6</v>
      </c>
      <c r="AK41" s="90">
        <f t="shared" si="9"/>
        <v>4.2699999999999996</v>
      </c>
      <c r="AL41" s="90">
        <v>391.01</v>
      </c>
      <c r="AM41" s="90">
        <f t="shared" si="10"/>
        <v>1669.61</v>
      </c>
      <c r="AN41" s="20">
        <v>32</v>
      </c>
      <c r="AO41" s="20">
        <v>31</v>
      </c>
      <c r="AP41" s="20">
        <v>33</v>
      </c>
      <c r="AQ41" s="20">
        <v>32</v>
      </c>
      <c r="AR41" s="20">
        <v>31</v>
      </c>
      <c r="AS41" s="20">
        <f>25+6</f>
        <v>31</v>
      </c>
      <c r="AT41" s="20">
        <f t="shared" si="11"/>
        <v>1</v>
      </c>
      <c r="AU41" s="20">
        <v>1.6</v>
      </c>
      <c r="AV41" s="90">
        <f t="shared" si="12"/>
        <v>4.4000000000000004</v>
      </c>
      <c r="AW41" s="90">
        <f t="shared" ref="AW41:AW58" si="551">ROUND((187.84*6+189.92*6)/12,2)</f>
        <v>188.88</v>
      </c>
      <c r="AX41" s="90">
        <v>780.7</v>
      </c>
      <c r="AY41" s="90">
        <f t="shared" si="14"/>
        <v>1.38</v>
      </c>
      <c r="AZ41" s="90">
        <f t="shared" si="15"/>
        <v>1720.44</v>
      </c>
      <c r="BA41" s="90">
        <f t="shared" si="16"/>
        <v>-939.74</v>
      </c>
      <c r="BB41" s="90">
        <v>780.7</v>
      </c>
      <c r="BC41" s="90">
        <v>1.38</v>
      </c>
      <c r="BD41" s="92">
        <f t="shared" si="17"/>
        <v>9368.4000000000015</v>
      </c>
      <c r="BE41" s="90"/>
      <c r="BF41" s="90">
        <f t="shared" si="18"/>
        <v>0</v>
      </c>
      <c r="BG41" s="90">
        <v>391.01</v>
      </c>
      <c r="BH41" s="90">
        <f t="shared" si="19"/>
        <v>1720.44</v>
      </c>
      <c r="BI41" s="90">
        <f t="shared" si="20"/>
        <v>3.04</v>
      </c>
      <c r="BJ41" s="90">
        <f t="shared" si="21"/>
        <v>220.28985507246378</v>
      </c>
      <c r="BK41" s="90">
        <f t="shared" si="22"/>
        <v>1720.44</v>
      </c>
      <c r="BL41" s="90">
        <f t="shared" si="23"/>
        <v>3.04</v>
      </c>
      <c r="BM41" s="90"/>
      <c r="BN41" s="90">
        <f t="shared" si="24"/>
        <v>0</v>
      </c>
      <c r="BO41" s="90">
        <f t="shared" si="25"/>
        <v>1720.44</v>
      </c>
      <c r="BP41" s="90">
        <f t="shared" si="26"/>
        <v>3.0423342175066321</v>
      </c>
      <c r="BQ41" s="90"/>
      <c r="BR41" s="90">
        <f t="shared" si="27"/>
        <v>0</v>
      </c>
      <c r="BS41" s="90">
        <f t="shared" si="28"/>
        <v>1720.44</v>
      </c>
      <c r="BT41" s="90">
        <f t="shared" si="29"/>
        <v>3.0423342175066321</v>
      </c>
      <c r="BU41" s="90"/>
      <c r="BV41" s="93">
        <v>1.4356370000000001</v>
      </c>
      <c r="BW41" s="90">
        <f t="shared" si="30"/>
        <v>811.85272349999991</v>
      </c>
      <c r="BX41" s="90">
        <f t="shared" si="31"/>
        <v>860.56388690999995</v>
      </c>
      <c r="BY41" s="90"/>
      <c r="BZ41" s="90"/>
      <c r="CA41" s="90">
        <v>0.2651</v>
      </c>
      <c r="CB41" s="90">
        <f>$I41*CA41</f>
        <v>149.91404999999997</v>
      </c>
      <c r="CC41" s="90">
        <v>0.71072749999999996</v>
      </c>
      <c r="CD41" s="90">
        <f t="shared" si="33"/>
        <v>106.54803797137498</v>
      </c>
      <c r="CE41" s="90">
        <f t="shared" si="34"/>
        <v>161.11152981991648</v>
      </c>
      <c r="CF41" s="90">
        <v>157.72854696554086</v>
      </c>
      <c r="CG41" s="90">
        <f>I41*0.278131806</f>
        <v>157.28353629299997</v>
      </c>
      <c r="CH41" s="90">
        <f t="shared" si="35"/>
        <v>164.83</v>
      </c>
      <c r="CI41" s="90">
        <f t="shared" si="524"/>
        <v>172.9901932406473</v>
      </c>
      <c r="CJ41" s="90">
        <f t="shared" si="36"/>
        <v>173.9</v>
      </c>
      <c r="CK41" s="90">
        <f t="shared" si="37"/>
        <v>183.91535297756656</v>
      </c>
      <c r="CL41" s="90">
        <f t="shared" si="38"/>
        <v>183.91535297756656</v>
      </c>
      <c r="CM41" s="94">
        <v>0.14899999999999999</v>
      </c>
      <c r="CN41" s="90">
        <f t="shared" si="39"/>
        <v>120.96605580149998</v>
      </c>
      <c r="CO41" s="90">
        <f t="shared" si="40"/>
        <v>128.22401914958999</v>
      </c>
      <c r="CP41" s="90"/>
      <c r="CQ41" s="90">
        <v>3.9528000000000001E-2</v>
      </c>
      <c r="CR41" s="90">
        <f>$I41*CQ41</f>
        <v>22.353083999999996</v>
      </c>
      <c r="CS41" s="90">
        <v>0.71072749999999996</v>
      </c>
      <c r="CT41" s="90">
        <f t="shared" si="42"/>
        <v>15.886951508609997</v>
      </c>
      <c r="CU41" s="90">
        <f t="shared" si="43"/>
        <v>24.022695400685244</v>
      </c>
      <c r="CV41" s="90">
        <f>I41*0.085919167</f>
        <v>48.587288938499995</v>
      </c>
      <c r="CW41" s="90">
        <f t="shared" si="44"/>
        <v>50.92</v>
      </c>
      <c r="CX41" s="90">
        <f t="shared" si="525"/>
        <v>53.440882362517499</v>
      </c>
      <c r="CY41" s="90">
        <f t="shared" si="45"/>
        <v>53.72</v>
      </c>
      <c r="CZ41" s="90">
        <f t="shared" si="46"/>
        <v>56.815930192426663</v>
      </c>
      <c r="DA41" s="90">
        <f t="shared" si="47"/>
        <v>56.815930192426663</v>
      </c>
      <c r="DB41" s="93">
        <v>1.4169099999999999</v>
      </c>
      <c r="DC41" s="90">
        <f t="shared" si="48"/>
        <v>801.26260499999978</v>
      </c>
      <c r="DD41" s="90">
        <f t="shared" si="49"/>
        <v>849.33836129999986</v>
      </c>
      <c r="DE41" s="90"/>
      <c r="DF41" s="90"/>
      <c r="DG41" s="90">
        <v>0.16261439999999999</v>
      </c>
      <c r="DH41" s="90">
        <f>$I41*DG41</f>
        <v>91.958443199999977</v>
      </c>
      <c r="DI41" s="90">
        <v>0.71072749999999996</v>
      </c>
      <c r="DJ41" s="90">
        <f t="shared" si="51"/>
        <v>65.357394439427978</v>
      </c>
      <c r="DK41" s="90">
        <f t="shared" si="52"/>
        <v>98.827064333262257</v>
      </c>
      <c r="DL41" s="90">
        <f>I41*0.138251482</f>
        <v>78.181213070999988</v>
      </c>
      <c r="DM41" s="90">
        <f t="shared" si="53"/>
        <v>81.93</v>
      </c>
      <c r="DN41" s="90">
        <f t="shared" si="526"/>
        <v>85.986085859408078</v>
      </c>
      <c r="DO41" s="90">
        <f t="shared" si="54"/>
        <v>86.44</v>
      </c>
      <c r="DP41" s="90">
        <f t="shared" si="55"/>
        <v>91.41651925894574</v>
      </c>
      <c r="DQ41" s="90">
        <f t="shared" si="56"/>
        <v>91.41651925894574</v>
      </c>
      <c r="DR41" s="93">
        <v>5.6880149999999997E-2</v>
      </c>
      <c r="DS41" s="90">
        <f t="shared" si="57"/>
        <v>32.165724824999991</v>
      </c>
      <c r="DT41" s="90">
        <f t="shared" si="58"/>
        <v>34.095668314499996</v>
      </c>
      <c r="DU41" s="90"/>
      <c r="DV41" s="90">
        <v>6.1500000000000001E-3</v>
      </c>
      <c r="DW41" s="90">
        <f>$I41*DV41</f>
        <v>3.4778249999999993</v>
      </c>
      <c r="DX41" s="90">
        <v>0.71072749999999996</v>
      </c>
      <c r="DY41" s="90">
        <f t="shared" si="60"/>
        <v>2.4717858676874993</v>
      </c>
      <c r="DZ41" s="90">
        <f t="shared" si="61"/>
        <v>3.7375930154375192</v>
      </c>
      <c r="EA41" s="90">
        <f t="shared" si="62"/>
        <v>3.92</v>
      </c>
      <c r="EB41" s="90">
        <f t="shared" si="527"/>
        <v>4.1140663562660764</v>
      </c>
      <c r="EC41" s="90">
        <f t="shared" si="63"/>
        <v>4.1399999999999997</v>
      </c>
      <c r="ED41" s="90">
        <f t="shared" si="64"/>
        <v>4.3738893628105373</v>
      </c>
      <c r="EE41" s="90">
        <f t="shared" si="65"/>
        <v>4.3738893628105373</v>
      </c>
      <c r="EF41" s="94">
        <v>0.85293354333000004</v>
      </c>
      <c r="EG41" s="90">
        <f t="shared" si="66"/>
        <v>385.86713500249198</v>
      </c>
      <c r="EH41" s="90">
        <f t="shared" si="67"/>
        <v>409.01916310264153</v>
      </c>
      <c r="EI41" s="90"/>
      <c r="EJ41" s="90">
        <v>0.58975</v>
      </c>
      <c r="EK41" s="90">
        <f t="shared" si="68"/>
        <v>266.80289999999997</v>
      </c>
      <c r="EL41" s="90">
        <v>0.71072749999999996</v>
      </c>
      <c r="EM41" s="90">
        <f t="shared" si="69"/>
        <v>189.62415810974997</v>
      </c>
      <c r="EN41" s="90">
        <f t="shared" si="70"/>
        <v>286.73111946071901</v>
      </c>
      <c r="EO41" s="90">
        <f>J41*0.618109993</f>
        <v>279.63296083319995</v>
      </c>
      <c r="EP41" s="90">
        <f t="shared" si="71"/>
        <v>293.06</v>
      </c>
      <c r="EQ41" s="90">
        <f t="shared" si="528"/>
        <v>307.56844039983071</v>
      </c>
      <c r="ER41" s="90">
        <f t="shared" si="72"/>
        <v>309.18</v>
      </c>
      <c r="ES41" s="90">
        <f t="shared" si="73"/>
        <v>326.99286139419797</v>
      </c>
      <c r="ET41" s="90">
        <f t="shared" si="74"/>
        <v>326.99286139419797</v>
      </c>
      <c r="EU41" s="94">
        <v>0.14899999999999999</v>
      </c>
      <c r="EV41" s="90">
        <f t="shared" si="75"/>
        <v>57.494203115371299</v>
      </c>
      <c r="EW41" s="90">
        <f t="shared" si="76"/>
        <v>60.943855302293578</v>
      </c>
      <c r="EX41" s="90"/>
      <c r="EY41" s="90">
        <v>8.7870000000000004E-2</v>
      </c>
      <c r="EZ41" s="90">
        <f t="shared" si="77"/>
        <v>39.752387999999996</v>
      </c>
      <c r="FA41" s="90">
        <v>0.71072749999999996</v>
      </c>
      <c r="FB41" s="90">
        <f t="shared" si="78"/>
        <v>28.253115342269997</v>
      </c>
      <c r="FC41" s="90">
        <f t="shared" si="79"/>
        <v>42.721599774503396</v>
      </c>
      <c r="FD41" s="90">
        <f>J41*0.191129652</f>
        <v>86.467054564799994</v>
      </c>
      <c r="FE41" s="90">
        <f t="shared" si="80"/>
        <v>90.62</v>
      </c>
      <c r="FF41" s="90">
        <f t="shared" si="529"/>
        <v>95.106299286946907</v>
      </c>
      <c r="FG41" s="90">
        <f t="shared" si="81"/>
        <v>95.6</v>
      </c>
      <c r="FH41" s="90">
        <f t="shared" si="82"/>
        <v>101.11271787191095</v>
      </c>
      <c r="FI41" s="90">
        <f t="shared" si="83"/>
        <v>101.11271787191095</v>
      </c>
      <c r="FJ41" s="93">
        <v>0.49981642240000002</v>
      </c>
      <c r="FK41" s="90">
        <f t="shared" si="84"/>
        <v>226.11694949375996</v>
      </c>
      <c r="FL41" s="90">
        <f t="shared" si="85"/>
        <v>239.68396646338556</v>
      </c>
      <c r="FM41" s="90"/>
      <c r="FN41" s="90">
        <v>0.35812500000000003</v>
      </c>
      <c r="FO41" s="90">
        <f t="shared" si="86"/>
        <v>162.01575</v>
      </c>
      <c r="FP41" s="90">
        <v>0.71072749999999996</v>
      </c>
      <c r="FQ41" s="90">
        <f t="shared" si="87"/>
        <v>115.14904895812499</v>
      </c>
      <c r="FR41" s="90">
        <f t="shared" si="88"/>
        <v>174.11713803623567</v>
      </c>
      <c r="FS41" s="90">
        <f>J41*0.303398313</f>
        <v>137.25739680119997</v>
      </c>
      <c r="FT41" s="90">
        <f t="shared" si="89"/>
        <v>143.85</v>
      </c>
      <c r="FU41" s="90">
        <f>J41*0.303667315</f>
        <v>137.37909330599996</v>
      </c>
      <c r="FV41" s="90">
        <f t="shared" si="90"/>
        <v>143.97</v>
      </c>
      <c r="FW41" s="90">
        <f t="shared" si="530"/>
        <v>151.09748298765996</v>
      </c>
      <c r="FX41" s="90">
        <f t="shared" si="91"/>
        <v>151.88999999999999</v>
      </c>
      <c r="FY41" s="90">
        <f t="shared" si="92"/>
        <v>160.64001315403905</v>
      </c>
      <c r="FZ41" s="90">
        <f t="shared" si="93"/>
        <v>160.64001315403905</v>
      </c>
      <c r="GA41" s="94">
        <v>1.352261642E-2</v>
      </c>
      <c r="GB41" s="90">
        <f t="shared" si="94"/>
        <v>6.1176316684079985</v>
      </c>
      <c r="GC41" s="90">
        <f t="shared" si="95"/>
        <v>6.4846895685124784</v>
      </c>
      <c r="GD41" s="90"/>
      <c r="GE41" s="90">
        <v>1.0749999999999999E-2</v>
      </c>
      <c r="GF41" s="90">
        <f t="shared" si="96"/>
        <v>4.8632999999999988</v>
      </c>
      <c r="GG41" s="90">
        <v>0.71072749999999996</v>
      </c>
      <c r="GH41" s="90">
        <f t="shared" si="97"/>
        <v>3.456481050749999</v>
      </c>
      <c r="GI41" s="90">
        <f t="shared" si="98"/>
        <v>5.2265528345955552</v>
      </c>
      <c r="GJ41" s="90">
        <f t="shared" si="99"/>
        <v>5.48</v>
      </c>
      <c r="GK41" s="90">
        <f t="shared" si="531"/>
        <v>5.7512968449842097</v>
      </c>
      <c r="GL41" s="90">
        <f t="shared" si="100"/>
        <v>5.78</v>
      </c>
      <c r="GM41" s="90">
        <f t="shared" si="101"/>
        <v>6.1145188031126905</v>
      </c>
      <c r="GN41" s="90">
        <f t="shared" si="102"/>
        <v>6.1145188031126905</v>
      </c>
      <c r="GO41" s="90">
        <v>2391.6</v>
      </c>
      <c r="GP41" s="90">
        <f t="shared" si="103"/>
        <v>199.29999999999998</v>
      </c>
      <c r="GQ41" s="90">
        <f>1587.6+138.6</f>
        <v>1726.1999999999998</v>
      </c>
      <c r="GR41" s="90">
        <f t="shared" si="104"/>
        <v>143.85</v>
      </c>
      <c r="GS41" s="90">
        <f t="shared" si="105"/>
        <v>343.15</v>
      </c>
      <c r="GT41" s="90">
        <f t="shared" si="106"/>
        <v>0.61</v>
      </c>
      <c r="GU41" s="90">
        <v>2731.44</v>
      </c>
      <c r="GV41" s="90">
        <f>1504.8+132.24</f>
        <v>1637.04</v>
      </c>
      <c r="GW41" s="90">
        <f t="shared" si="107"/>
        <v>364.03999999999996</v>
      </c>
      <c r="GX41" s="90">
        <f t="shared" si="108"/>
        <v>0.64</v>
      </c>
      <c r="GY41" s="90">
        <v>4835.4799999999996</v>
      </c>
      <c r="GZ41" s="90">
        <f>1600.56+141.36</f>
        <v>1741.92</v>
      </c>
      <c r="HA41" s="90">
        <f t="shared" si="109"/>
        <v>548.11666666666667</v>
      </c>
      <c r="HB41" s="90">
        <f t="shared" si="110"/>
        <v>0.97</v>
      </c>
      <c r="HC41" s="90">
        <v>4835.4799999999996</v>
      </c>
      <c r="HD41" s="90">
        <f>1600.56+141.36</f>
        <v>1741.92</v>
      </c>
      <c r="HE41" s="90">
        <f t="shared" si="111"/>
        <v>548.11666666666667</v>
      </c>
      <c r="HF41" s="90">
        <f t="shared" si="112"/>
        <v>0.97</v>
      </c>
      <c r="HG41" s="90"/>
      <c r="HH41" s="90"/>
      <c r="HI41" s="90">
        <v>0.96</v>
      </c>
      <c r="HJ41" s="90">
        <f t="shared" si="113"/>
        <v>542.87999999999988</v>
      </c>
      <c r="HK41" s="90">
        <f t="shared" si="114"/>
        <v>1.0060831122900091</v>
      </c>
      <c r="HL41" s="90">
        <f t="shared" si="115"/>
        <v>568.94000000000005</v>
      </c>
      <c r="HM41" s="90">
        <v>1.07</v>
      </c>
      <c r="HN41" s="90">
        <f t="shared" si="116"/>
        <v>605.08499999999992</v>
      </c>
      <c r="HO41" s="90">
        <v>1.1499999999999999</v>
      </c>
      <c r="HP41" s="90">
        <f t="shared" si="117"/>
        <v>650.33000000000004</v>
      </c>
      <c r="HQ41" s="90">
        <v>1.1499999999999999</v>
      </c>
      <c r="HR41" s="90">
        <f t="shared" si="118"/>
        <v>650.33000000000004</v>
      </c>
      <c r="HS41" s="90">
        <v>0.31919999999999998</v>
      </c>
      <c r="HT41" s="90">
        <f t="shared" si="119"/>
        <v>180.50759999999997</v>
      </c>
      <c r="HU41" s="90" t="e">
        <f>HT41*#REF!</f>
        <v>#REF!</v>
      </c>
      <c r="HV41" s="90">
        <v>2.83</v>
      </c>
      <c r="HW41" s="90">
        <v>3.1</v>
      </c>
      <c r="HX41" s="90">
        <f t="shared" si="120"/>
        <v>1753.0499999999997</v>
      </c>
      <c r="HY41" s="90">
        <v>1.06</v>
      </c>
      <c r="HZ41" s="90">
        <f t="shared" si="121"/>
        <v>1858.2329999999997</v>
      </c>
      <c r="IA41" s="90">
        <f t="shared" si="122"/>
        <v>3.29</v>
      </c>
      <c r="IB41" s="90">
        <f t="shared" si="123"/>
        <v>3.45</v>
      </c>
      <c r="IC41" s="90">
        <f t="shared" si="124"/>
        <v>1950.9749999999997</v>
      </c>
      <c r="ID41" s="90">
        <f t="shared" si="125"/>
        <v>3.64</v>
      </c>
      <c r="IE41" s="90">
        <f t="shared" si="126"/>
        <v>2058.42</v>
      </c>
      <c r="IF41" s="90">
        <f t="shared" si="127"/>
        <v>3.64</v>
      </c>
      <c r="IG41" s="92">
        <f t="shared" si="128"/>
        <v>24701.040000000001</v>
      </c>
      <c r="IH41" s="90">
        <v>3.91</v>
      </c>
      <c r="II41" s="90">
        <f t="shared" si="129"/>
        <v>4.1100000000000003</v>
      </c>
      <c r="IJ41" s="90">
        <f t="shared" si="130"/>
        <v>2324.21</v>
      </c>
      <c r="IK41" s="90">
        <f t="shared" si="131"/>
        <v>4.1100000000000003</v>
      </c>
      <c r="IL41" s="90">
        <f t="shared" si="132"/>
        <v>2324.21</v>
      </c>
      <c r="IM41" s="90">
        <f t="shared" si="133"/>
        <v>4.1100000000000003</v>
      </c>
      <c r="IN41" s="90">
        <f t="shared" si="134"/>
        <v>2324.21</v>
      </c>
      <c r="IO41" s="90">
        <f t="shared" si="135"/>
        <v>4.1100000000000003</v>
      </c>
      <c r="IP41" s="93">
        <v>0.37052404126999999</v>
      </c>
      <c r="IQ41" s="90">
        <f t="shared" si="136"/>
        <v>167.62507627054796</v>
      </c>
      <c r="IR41" s="90">
        <f t="shared" si="137"/>
        <v>177.68258084678084</v>
      </c>
      <c r="IS41" s="90">
        <v>108693.96</v>
      </c>
      <c r="IT41" s="90">
        <v>3053.33</v>
      </c>
      <c r="IU41" s="94"/>
      <c r="IV41" s="94"/>
      <c r="IW41" s="94">
        <v>1.6976249999999999</v>
      </c>
      <c r="IX41" s="90">
        <f t="shared" si="138"/>
        <v>768.00554999999986</v>
      </c>
      <c r="IY41" s="93">
        <v>0.56339614052999998</v>
      </c>
      <c r="IZ41" s="90">
        <f t="shared" si="139"/>
        <v>318.60051746971493</v>
      </c>
      <c r="JA41" s="90">
        <f t="shared" si="140"/>
        <v>333.89</v>
      </c>
      <c r="JB41" s="90">
        <f t="shared" si="532"/>
        <v>350.41979992185719</v>
      </c>
      <c r="JC41" s="90">
        <f t="shared" si="141"/>
        <v>352.25</v>
      </c>
      <c r="JD41" s="90">
        <f t="shared" si="142"/>
        <v>372.55048962979856</v>
      </c>
      <c r="JE41" s="90">
        <f t="shared" si="143"/>
        <v>372.55048962979856</v>
      </c>
      <c r="JF41" s="93">
        <v>4.2278943710000003E-2</v>
      </c>
      <c r="JG41" s="90">
        <f t="shared" si="144"/>
        <v>19.126994134403997</v>
      </c>
      <c r="JH41" s="90">
        <f t="shared" si="145"/>
        <v>20.274613782468236</v>
      </c>
      <c r="JI41" s="20">
        <v>462.98</v>
      </c>
      <c r="JJ41" s="20"/>
      <c r="JK41" s="20">
        <v>6.0624999999999998E-2</v>
      </c>
      <c r="JL41" s="90">
        <f t="shared" si="146"/>
        <v>27.426749999999995</v>
      </c>
      <c r="JM41" s="93">
        <v>6.7347080040000007E-2</v>
      </c>
      <c r="JN41" s="90">
        <f t="shared" si="147"/>
        <v>38.084773762619996</v>
      </c>
      <c r="JO41" s="90">
        <f t="shared" si="148"/>
        <v>39.909999999999997</v>
      </c>
      <c r="JP41" s="90">
        <f t="shared" si="533"/>
        <v>41.885813336372216</v>
      </c>
      <c r="JQ41" s="90">
        <f t="shared" si="149"/>
        <v>42.11</v>
      </c>
      <c r="JR41" s="90">
        <f t="shared" si="150"/>
        <v>44.531103181063401</v>
      </c>
      <c r="JS41" s="90">
        <f t="shared" si="151"/>
        <v>44.531103181063401</v>
      </c>
      <c r="JT41" s="93">
        <v>7.3220517000000002E-3</v>
      </c>
      <c r="JU41" s="90">
        <f t="shared" si="152"/>
        <v>3.3124961890799995</v>
      </c>
      <c r="JV41" s="90">
        <f t="shared" si="153"/>
        <v>3.47</v>
      </c>
      <c r="JW41" s="90">
        <f t="shared" si="534"/>
        <v>3.641788330674308</v>
      </c>
      <c r="JX41" s="90">
        <f t="shared" si="154"/>
        <v>3.66</v>
      </c>
      <c r="JY41" s="90">
        <f t="shared" si="155"/>
        <v>3.8717847165695325</v>
      </c>
      <c r="JZ41" s="90">
        <f t="shared" si="156"/>
        <v>3.8717847165695325</v>
      </c>
      <c r="KA41" s="90">
        <v>8.3090999999999998E-3</v>
      </c>
      <c r="KB41" s="90">
        <f t="shared" si="157"/>
        <v>3.7590368399999994</v>
      </c>
      <c r="KC41" s="90" t="e">
        <f>KB41*#REF!</f>
        <v>#REF!</v>
      </c>
      <c r="KD41" s="90">
        <v>34406.519999999997</v>
      </c>
      <c r="KE41" s="90">
        <v>40292.97</v>
      </c>
      <c r="KF41" s="90"/>
      <c r="KG41" s="90">
        <f t="shared" si="550"/>
        <v>662.24874050034703</v>
      </c>
      <c r="KH41" s="90" t="e">
        <f>KG41/(BW41+#REF!)*(CB41+#REF!)</f>
        <v>#REF!</v>
      </c>
      <c r="KI41" s="90">
        <v>0.8</v>
      </c>
      <c r="KJ41" s="94"/>
      <c r="KK41" s="90">
        <f t="shared" si="159"/>
        <v>0</v>
      </c>
      <c r="KL41" s="93">
        <v>1.2690177</v>
      </c>
      <c r="KM41" s="90">
        <f t="shared" si="160"/>
        <v>717.62950934999992</v>
      </c>
      <c r="KN41" s="90">
        <f t="shared" si="161"/>
        <v>760.68727991099991</v>
      </c>
      <c r="KO41" s="90" t="e">
        <f>BW41+CN41+DC41+DS41+EG41+EV41+FK41+GB41+#REF!+#REF!+HJ41+HX41+IQ41+JG41+JU41+KK41+KM41</f>
        <v>#REF!</v>
      </c>
      <c r="KP41" s="90"/>
      <c r="KQ41" s="90">
        <v>0.50815001599999998</v>
      </c>
      <c r="KR41" s="90">
        <f>$I41*KQ41</f>
        <v>287.35883404799995</v>
      </c>
      <c r="KS41" s="90">
        <v>0.71072749999999996</v>
      </c>
      <c r="KT41" s="90">
        <f t="shared" si="163"/>
        <v>204.23382572584987</v>
      </c>
      <c r="KU41" s="90">
        <f t="shared" si="164"/>
        <v>308.82243099122985</v>
      </c>
      <c r="KV41" s="90">
        <f t="shared" si="165"/>
        <v>323.64999999999998</v>
      </c>
      <c r="KW41" s="90">
        <f t="shared" si="535"/>
        <v>339.67285107283561</v>
      </c>
      <c r="KX41" s="90">
        <f t="shared" si="166"/>
        <v>341.45</v>
      </c>
      <c r="KY41" s="90">
        <f t="shared" si="167"/>
        <v>361.12481945755877</v>
      </c>
      <c r="KZ41" s="90">
        <f t="shared" si="168"/>
        <v>361.12481945755877</v>
      </c>
      <c r="LA41" s="90">
        <f t="shared" si="169"/>
        <v>2216.7599999999998</v>
      </c>
      <c r="LB41" s="90">
        <f t="shared" si="170"/>
        <v>3.92</v>
      </c>
      <c r="LC41" s="92">
        <f t="shared" si="171"/>
        <v>26601.119999999995</v>
      </c>
      <c r="LD41" s="92">
        <v>4.21</v>
      </c>
      <c r="LE41" s="92">
        <v>2380.7600000000007</v>
      </c>
      <c r="LF41" s="90">
        <f t="shared" si="172"/>
        <v>4.18</v>
      </c>
      <c r="LG41" s="90">
        <f t="shared" si="173"/>
        <v>2363.79</v>
      </c>
      <c r="LH41" s="90">
        <f t="shared" si="174"/>
        <v>2383.0169999999998</v>
      </c>
      <c r="LI41" s="90">
        <f t="shared" si="175"/>
        <v>4.21</v>
      </c>
      <c r="LJ41" s="90">
        <f t="shared" si="176"/>
        <v>2363.7900000000004</v>
      </c>
      <c r="LK41" s="90">
        <f t="shared" si="177"/>
        <v>4.18</v>
      </c>
      <c r="LL41" s="90">
        <f t="shared" si="178"/>
        <v>2363.7900000000004</v>
      </c>
      <c r="LM41" s="90">
        <f t="shared" si="179"/>
        <v>4.18</v>
      </c>
      <c r="LN41" s="95">
        <v>0.46</v>
      </c>
      <c r="LO41" s="95">
        <f t="shared" si="180"/>
        <v>260.13</v>
      </c>
      <c r="LP41" s="95"/>
      <c r="LQ41" s="95">
        <f t="shared" si="181"/>
        <v>0</v>
      </c>
      <c r="LR41" s="90"/>
      <c r="LS41" s="90"/>
      <c r="LT41" s="90">
        <f t="shared" si="182"/>
        <v>0</v>
      </c>
      <c r="LU41" s="90"/>
      <c r="LV41" s="90">
        <f t="shared" si="183"/>
        <v>0</v>
      </c>
      <c r="LW41" s="90">
        <f t="shared" si="184"/>
        <v>0</v>
      </c>
      <c r="LX41" s="90"/>
      <c r="LY41" s="90"/>
      <c r="LZ41" s="90">
        <f t="shared" si="185"/>
        <v>0</v>
      </c>
      <c r="MA41" s="90"/>
      <c r="MB41" s="90">
        <f t="shared" si="186"/>
        <v>0</v>
      </c>
      <c r="MC41" s="90">
        <f t="shared" si="187"/>
        <v>0</v>
      </c>
      <c r="MD41" s="90"/>
      <c r="ME41" s="90"/>
      <c r="MF41" s="90">
        <f t="shared" si="188"/>
        <v>0</v>
      </c>
      <c r="MG41" s="90"/>
      <c r="MH41" s="90">
        <f t="shared" si="189"/>
        <v>0</v>
      </c>
      <c r="MI41" s="90">
        <f t="shared" si="190"/>
        <v>0</v>
      </c>
      <c r="MJ41" s="90"/>
      <c r="MK41" s="90"/>
      <c r="ML41" s="90">
        <f t="shared" si="191"/>
        <v>0</v>
      </c>
      <c r="MM41" s="90"/>
      <c r="MN41" s="90">
        <f t="shared" si="192"/>
        <v>0</v>
      </c>
      <c r="MO41" s="90">
        <f t="shared" si="193"/>
        <v>0</v>
      </c>
      <c r="MP41" s="90">
        <f t="shared" si="194"/>
        <v>0</v>
      </c>
      <c r="MQ41" s="90">
        <f t="shared" si="195"/>
        <v>0</v>
      </c>
      <c r="MR41" s="90">
        <f t="shared" si="196"/>
        <v>0</v>
      </c>
      <c r="MS41" s="90">
        <f t="shared" si="197"/>
        <v>0</v>
      </c>
      <c r="MT41" s="95"/>
      <c r="MU41" s="95">
        <f t="shared" si="198"/>
        <v>0</v>
      </c>
      <c r="MV41" s="92">
        <f t="shared" si="199"/>
        <v>0</v>
      </c>
      <c r="MW41" s="95"/>
      <c r="MX41" s="95">
        <f t="shared" si="200"/>
        <v>0</v>
      </c>
      <c r="MY41" s="95"/>
      <c r="MZ41" s="95">
        <f t="shared" si="201"/>
        <v>0</v>
      </c>
      <c r="NA41" s="95"/>
      <c r="NB41" s="95">
        <f t="shared" si="202"/>
        <v>0</v>
      </c>
      <c r="NC41" s="92">
        <f t="shared" si="203"/>
        <v>0</v>
      </c>
      <c r="ND41" s="95"/>
      <c r="NE41" s="95">
        <f t="shared" si="204"/>
        <v>0</v>
      </c>
      <c r="NF41" s="95"/>
      <c r="NG41" s="95">
        <f t="shared" si="205"/>
        <v>0</v>
      </c>
      <c r="NH41" s="95"/>
      <c r="NI41" s="95"/>
      <c r="NJ41" s="95">
        <f t="shared" si="206"/>
        <v>0</v>
      </c>
      <c r="NK41" s="92">
        <f t="shared" si="207"/>
        <v>0</v>
      </c>
      <c r="NL41" s="95"/>
      <c r="NM41" s="95">
        <f t="shared" si="208"/>
        <v>0</v>
      </c>
      <c r="NN41" s="95"/>
      <c r="NO41" s="95">
        <f t="shared" si="209"/>
        <v>0</v>
      </c>
      <c r="NP41" s="95"/>
      <c r="NQ41" s="95">
        <f t="shared" si="210"/>
        <v>0</v>
      </c>
      <c r="NR41" s="92">
        <f t="shared" si="211"/>
        <v>0</v>
      </c>
      <c r="NS41" s="95"/>
      <c r="NT41" s="95">
        <f t="shared" si="212"/>
        <v>0</v>
      </c>
      <c r="NU41" s="95"/>
      <c r="NV41" s="95">
        <f t="shared" si="213"/>
        <v>0</v>
      </c>
      <c r="NW41" s="95"/>
      <c r="NX41" s="95">
        <f t="shared" si="214"/>
        <v>0</v>
      </c>
      <c r="NY41" s="92">
        <f t="shared" si="215"/>
        <v>0</v>
      </c>
      <c r="NZ41" s="95"/>
      <c r="OA41" s="95">
        <f t="shared" si="216"/>
        <v>0</v>
      </c>
      <c r="OB41" s="95"/>
      <c r="OC41" s="95">
        <f t="shared" si="217"/>
        <v>0</v>
      </c>
      <c r="OD41" s="90">
        <v>2980.19</v>
      </c>
      <c r="OE41" s="90">
        <f t="shared" si="218"/>
        <v>5.27</v>
      </c>
      <c r="OF41" s="92">
        <f t="shared" si="219"/>
        <v>35762.28</v>
      </c>
      <c r="OG41" s="96">
        <v>780.7</v>
      </c>
      <c r="OH41" s="96">
        <v>1.38</v>
      </c>
      <c r="OI41" s="90">
        <v>3760.58</v>
      </c>
      <c r="OJ41" s="90">
        <f t="shared" si="220"/>
        <v>6.65</v>
      </c>
      <c r="OK41" s="90">
        <f t="shared" si="221"/>
        <v>3760.8900000000003</v>
      </c>
      <c r="OL41" s="90">
        <f t="shared" si="222"/>
        <v>6.65</v>
      </c>
      <c r="OM41" s="90">
        <f t="shared" si="223"/>
        <v>0</v>
      </c>
      <c r="ON41" s="90">
        <v>2980.19</v>
      </c>
      <c r="OO41" s="90">
        <f t="shared" si="224"/>
        <v>5.27</v>
      </c>
      <c r="OP41" s="90">
        <v>2979.88</v>
      </c>
      <c r="OQ41" s="90">
        <v>5.27</v>
      </c>
      <c r="OR41" s="90">
        <f t="shared" si="225"/>
        <v>0</v>
      </c>
      <c r="OS41" s="90">
        <f t="shared" si="226"/>
        <v>5.2700000000000005</v>
      </c>
      <c r="OT41" s="90">
        <v>2980.19</v>
      </c>
      <c r="OU41" s="90">
        <f t="shared" si="227"/>
        <v>5.27</v>
      </c>
      <c r="OV41" s="97">
        <v>2414.69</v>
      </c>
      <c r="OW41" s="90">
        <f t="shared" si="228"/>
        <v>3098.94</v>
      </c>
      <c r="OX41" s="90">
        <f t="shared" si="229"/>
        <v>5.48</v>
      </c>
      <c r="OY41" s="90">
        <f>OU41-1+1.2+0.2-0.19</f>
        <v>5.4799999999999995</v>
      </c>
      <c r="OZ41" s="90"/>
      <c r="PA41" s="90"/>
      <c r="PB41" s="95">
        <f t="shared" si="230"/>
        <v>0</v>
      </c>
      <c r="PC41" s="92">
        <f t="shared" si="231"/>
        <v>0</v>
      </c>
      <c r="PD41" s="90"/>
      <c r="PE41" s="95">
        <f t="shared" si="232"/>
        <v>0</v>
      </c>
      <c r="PF41" s="90">
        <f t="shared" si="233"/>
        <v>8379.2199999999993</v>
      </c>
      <c r="PG41" s="90">
        <f t="shared" si="234"/>
        <v>14.82</v>
      </c>
      <c r="PH41" s="90">
        <f t="shared" si="235"/>
        <v>10315.626666666667</v>
      </c>
      <c r="PI41" s="90">
        <f t="shared" si="236"/>
        <v>18.239999999999998</v>
      </c>
      <c r="PJ41" s="90">
        <f t="shared" si="237"/>
        <v>10315.626666666667</v>
      </c>
      <c r="PK41" s="90">
        <f t="shared" si="238"/>
        <v>18.239999999999998</v>
      </c>
      <c r="PL41" s="90"/>
      <c r="PM41" s="90">
        <f t="shared" si="239"/>
        <v>251.38</v>
      </c>
      <c r="PN41" s="90">
        <f t="shared" si="240"/>
        <v>0.44</v>
      </c>
      <c r="PO41" s="92">
        <f t="shared" si="241"/>
        <v>3016.56</v>
      </c>
      <c r="PP41" s="90">
        <f t="shared" si="242"/>
        <v>309.47000000000003</v>
      </c>
      <c r="PQ41" s="90">
        <f t="shared" si="243"/>
        <v>0.55000000000000004</v>
      </c>
      <c r="PR41" s="90">
        <f t="shared" si="244"/>
        <v>309.47000000000003</v>
      </c>
      <c r="PS41" s="90">
        <f t="shared" si="245"/>
        <v>0.55000000000000004</v>
      </c>
      <c r="PT41" s="90">
        <f t="shared" si="246"/>
        <v>8630.5999999999985</v>
      </c>
      <c r="PU41" s="90">
        <f t="shared" si="247"/>
        <v>15.26</v>
      </c>
      <c r="PV41" s="90">
        <f t="shared" si="248"/>
        <v>10625.096666666666</v>
      </c>
      <c r="PW41" s="90">
        <f t="shared" si="249"/>
        <v>18.79</v>
      </c>
      <c r="PX41" s="90">
        <f t="shared" si="250"/>
        <v>10625.096666666666</v>
      </c>
      <c r="PY41" s="90">
        <f t="shared" si="251"/>
        <v>18.79</v>
      </c>
      <c r="PZ41" s="90">
        <f t="shared" si="252"/>
        <v>87.18</v>
      </c>
      <c r="QA41" s="90">
        <f t="shared" si="253"/>
        <v>0.15</v>
      </c>
      <c r="QB41" s="92">
        <f t="shared" si="254"/>
        <v>1046.1600000000001</v>
      </c>
      <c r="QC41" s="90">
        <f t="shared" si="255"/>
        <v>107.32</v>
      </c>
      <c r="QD41" s="90">
        <f t="shared" si="256"/>
        <v>0.19</v>
      </c>
      <c r="QE41" s="90">
        <f t="shared" si="257"/>
        <v>107.32</v>
      </c>
      <c r="QF41" s="90">
        <f t="shared" si="258"/>
        <v>0.19</v>
      </c>
      <c r="QG41" s="90">
        <f t="shared" si="259"/>
        <v>8717.7799999999988</v>
      </c>
      <c r="QH41" s="90">
        <f t="shared" si="260"/>
        <v>15.42</v>
      </c>
      <c r="QI41" s="92">
        <f t="shared" si="261"/>
        <v>104613.35999999999</v>
      </c>
      <c r="QJ41" s="90">
        <f t="shared" si="262"/>
        <v>355.09285107283563</v>
      </c>
      <c r="QK41" s="98">
        <f t="shared" si="263"/>
        <v>0.21869999999999998</v>
      </c>
      <c r="QL41" s="90">
        <f t="shared" si="264"/>
        <v>123.67484999999996</v>
      </c>
      <c r="QM41" s="90">
        <f t="shared" si="265"/>
        <v>0.14579999999999999</v>
      </c>
      <c r="QN41" s="90">
        <f t="shared" si="266"/>
        <v>82.449899999999971</v>
      </c>
      <c r="QO41" s="90">
        <v>0.21869999999999998</v>
      </c>
      <c r="QP41" s="90">
        <v>0.14579999999999999</v>
      </c>
      <c r="QQ41" s="97">
        <f t="shared" si="267"/>
        <v>206.12474999999995</v>
      </c>
      <c r="QR41" s="97">
        <v>206.12474999999995</v>
      </c>
      <c r="QS41" s="97">
        <f t="shared" si="268"/>
        <v>0</v>
      </c>
      <c r="QT41" s="90"/>
      <c r="QU41" s="90">
        <f t="shared" si="269"/>
        <v>0.14579999999999999</v>
      </c>
      <c r="QV41" s="90">
        <f t="shared" si="270"/>
        <v>82.449899999999971</v>
      </c>
      <c r="QW41" s="90">
        <f t="shared" si="271"/>
        <v>206.12474999999995</v>
      </c>
      <c r="QX41" s="90">
        <f t="shared" si="272"/>
        <v>0.36449999999999999</v>
      </c>
      <c r="QY41" s="90"/>
      <c r="QZ41" s="90"/>
      <c r="RA41" s="90"/>
      <c r="RB41" s="90">
        <v>2104.59</v>
      </c>
      <c r="RC41" s="97">
        <f t="shared" si="273"/>
        <v>8717.7799999999988</v>
      </c>
      <c r="RD41" s="97">
        <f t="shared" si="274"/>
        <v>15.42</v>
      </c>
      <c r="RE41" s="90">
        <f t="shared" si="275"/>
        <v>10732.416666666666</v>
      </c>
      <c r="RF41" s="90">
        <f t="shared" si="276"/>
        <v>18.98</v>
      </c>
      <c r="RG41" s="90">
        <f t="shared" si="277"/>
        <v>123.16677482154445</v>
      </c>
      <c r="RH41" s="90">
        <f t="shared" si="278"/>
        <v>10732.416666666666</v>
      </c>
      <c r="RI41" s="90">
        <f t="shared" si="279"/>
        <v>18.98</v>
      </c>
      <c r="RJ41" s="90">
        <v>17.41</v>
      </c>
      <c r="RK41" s="90">
        <v>0</v>
      </c>
      <c r="RL41" s="90">
        <f t="shared" si="280"/>
        <v>1.5700000000000003</v>
      </c>
      <c r="RM41" s="90">
        <f t="shared" si="281"/>
        <v>114.13108839446784</v>
      </c>
      <c r="RN41" s="90">
        <f t="shared" si="282"/>
        <v>5714.2099999999991</v>
      </c>
      <c r="RO41" s="90"/>
      <c r="RP41" s="90"/>
      <c r="RQ41" s="99">
        <v>564</v>
      </c>
      <c r="RR41" s="90">
        <f t="shared" si="283"/>
        <v>5737.59</v>
      </c>
      <c r="RS41" s="90">
        <f t="shared" si="284"/>
        <v>10.146047745358093</v>
      </c>
      <c r="RT41" s="90">
        <f>11.28+3.3</f>
        <v>14.579999999999998</v>
      </c>
      <c r="RU41" s="90">
        <f t="shared" si="285"/>
        <v>8244.989999999998</v>
      </c>
      <c r="RV41" s="90">
        <f t="shared" si="286"/>
        <v>0.62792723443472276</v>
      </c>
      <c r="RW41" s="90">
        <v>10.43</v>
      </c>
      <c r="RX41" s="90">
        <f t="shared" si="287"/>
        <v>10.951499999999999</v>
      </c>
      <c r="RY41" s="90">
        <f t="shared" si="288"/>
        <v>6193.0732499999986</v>
      </c>
      <c r="RZ41" s="90">
        <f t="shared" si="289"/>
        <v>1633.8585863952601</v>
      </c>
      <c r="SA41" s="90">
        <f t="shared" si="290"/>
        <v>730.98079897384525</v>
      </c>
      <c r="SB41" s="90">
        <f t="shared" si="291"/>
        <v>1105.3177236665849</v>
      </c>
      <c r="SC41" s="90">
        <f t="shared" si="292"/>
        <v>2008.1955110879999</v>
      </c>
      <c r="SD41" s="90">
        <f t="shared" si="293"/>
        <v>2008.1955110879999</v>
      </c>
      <c r="SE41" s="90">
        <f t="shared" si="294"/>
        <v>2038.4479005556777</v>
      </c>
      <c r="SF41" s="90">
        <f t="shared" si="295"/>
        <v>2008.5188254369186</v>
      </c>
      <c r="SG41" s="90">
        <f t="shared" si="296"/>
        <v>-0.32331434891875688</v>
      </c>
      <c r="SH41" s="90">
        <f t="shared" si="297"/>
        <v>2008.6405219417186</v>
      </c>
      <c r="SI41" s="90">
        <f t="shared" si="298"/>
        <v>3.5511856960000006</v>
      </c>
      <c r="SJ41" s="90">
        <f t="shared" si="299"/>
        <v>3.5517574278283273</v>
      </c>
      <c r="SK41" s="90"/>
      <c r="SL41" s="90"/>
      <c r="SM41" s="90"/>
      <c r="SN41" s="90">
        <f t="shared" si="300"/>
        <v>2149.9900000000002</v>
      </c>
      <c r="SO41" s="90" t="e">
        <f>RU41-#REF!-#REF!-HZ41-LT41-LZ41-MF41-ML41-QL41-QN41-SD41</f>
        <v>#REF!</v>
      </c>
      <c r="SP41" s="90">
        <f t="shared" si="301"/>
        <v>2104.59</v>
      </c>
      <c r="SQ41" s="90">
        <f t="shared" si="302"/>
        <v>2216.7599999999998</v>
      </c>
      <c r="SR41" s="90">
        <f t="shared" si="303"/>
        <v>3.7216445623342187</v>
      </c>
      <c r="SS41" s="90">
        <f t="shared" si="304"/>
        <v>3.9200000000000004</v>
      </c>
      <c r="ST41" s="90">
        <f t="shared" si="305"/>
        <v>2225.2049999999999</v>
      </c>
      <c r="SU41" s="90">
        <v>3.7216445623342187</v>
      </c>
      <c r="SV41" s="90">
        <f t="shared" si="306"/>
        <v>3.93</v>
      </c>
      <c r="SW41" s="90">
        <v>3.92</v>
      </c>
      <c r="SX41" s="90">
        <f t="shared" si="307"/>
        <v>2216.7600000000002</v>
      </c>
      <c r="SY41" s="90">
        <v>3.7216363956974083</v>
      </c>
      <c r="SZ41" s="90">
        <f t="shared" si="308"/>
        <v>2104.585381766884</v>
      </c>
      <c r="TA41" s="90">
        <f t="shared" si="309"/>
        <v>-4.6182331161617185E-3</v>
      </c>
      <c r="TB41" s="90">
        <v>0</v>
      </c>
      <c r="TC41" s="90">
        <f t="shared" si="310"/>
        <v>3058.7502499999982</v>
      </c>
      <c r="TD41" s="90" t="e">
        <f>#REF!+#REF!</f>
        <v>#REF!</v>
      </c>
      <c r="TE41" s="90" t="e">
        <f t="shared" si="311"/>
        <v>#REF!</v>
      </c>
      <c r="TF41" s="90">
        <v>3078.2269166666656</v>
      </c>
      <c r="TG41" s="90">
        <f t="shared" si="312"/>
        <v>37.098289385432835</v>
      </c>
      <c r="TH41" s="95"/>
      <c r="TI41" s="95"/>
      <c r="TJ41" s="95"/>
      <c r="TK41" s="95"/>
      <c r="TL41" s="95"/>
      <c r="TM41" s="95">
        <f t="shared" si="313"/>
        <v>0</v>
      </c>
      <c r="TN41" s="95">
        <f t="shared" si="314"/>
        <v>8244.989999999998</v>
      </c>
      <c r="TO41" s="95">
        <f t="shared" si="315"/>
        <v>37.098289385432835</v>
      </c>
      <c r="TP41" s="95"/>
      <c r="TQ41" s="95">
        <f t="shared" si="316"/>
        <v>14.579999999999998</v>
      </c>
      <c r="TR41" s="95"/>
      <c r="TS41" s="95"/>
      <c r="TT41" s="95"/>
      <c r="TU41" s="95"/>
      <c r="TV41" s="95"/>
      <c r="TW41" s="95"/>
      <c r="TX41" s="95"/>
      <c r="TY41" s="95"/>
      <c r="TZ41" s="95">
        <f t="shared" si="317"/>
        <v>2.5</v>
      </c>
      <c r="UA41" s="95">
        <f t="shared" si="318"/>
        <v>0.64151999999999998</v>
      </c>
      <c r="UB41" s="90">
        <v>0</v>
      </c>
      <c r="UC41" s="90">
        <f t="shared" si="319"/>
        <v>0</v>
      </c>
      <c r="UD41" s="90">
        <f t="shared" si="320"/>
        <v>0</v>
      </c>
      <c r="UE41" s="90">
        <f t="shared" si="321"/>
        <v>0</v>
      </c>
      <c r="UF41" s="90">
        <f t="shared" si="322"/>
        <v>8244.989999999998</v>
      </c>
      <c r="UG41" s="91">
        <f t="shared" si="323"/>
        <v>0</v>
      </c>
      <c r="UH41" s="95">
        <f t="shared" si="324"/>
        <v>37.098289385432835</v>
      </c>
      <c r="UI41" s="95">
        <f t="shared" si="325"/>
        <v>8244.989999999998</v>
      </c>
      <c r="UJ41" s="101">
        <f t="shared" si="326"/>
        <v>0</v>
      </c>
      <c r="UK41" s="101">
        <f t="shared" si="327"/>
        <v>37.098289385432835</v>
      </c>
      <c r="UL41" s="90" t="e">
        <f>(#REF!+#REF!+HZ41+LT41+LZ41+MF41+ML41+QL41+QN41+SN41+TC41+TM41+UC41)/I41</f>
        <v>#REF!</v>
      </c>
      <c r="UN41" s="90" t="e">
        <f>#REF!/I41</f>
        <v>#REF!</v>
      </c>
      <c r="UO41" s="90" t="e">
        <f>#REF!/I41</f>
        <v>#REF!</v>
      </c>
      <c r="UP41" s="90">
        <v>1.1499999999999999</v>
      </c>
      <c r="UQ41" s="90" t="e">
        <f t="shared" si="328"/>
        <v>#REF!</v>
      </c>
      <c r="UR41" s="90">
        <f t="shared" si="329"/>
        <v>5737.59</v>
      </c>
      <c r="US41" s="90">
        <f t="shared" si="330"/>
        <v>7189.2700000000013</v>
      </c>
      <c r="UT41" s="90">
        <f t="shared" si="331"/>
        <v>7189.2700000000013</v>
      </c>
      <c r="UU41" s="90">
        <f t="shared" si="516"/>
        <v>7449.4000000000015</v>
      </c>
      <c r="UV41" s="90">
        <f t="shared" si="333"/>
        <v>7373.3466666666673</v>
      </c>
      <c r="UW41" s="90">
        <f t="shared" si="334"/>
        <v>5.91</v>
      </c>
      <c r="UX41" s="90">
        <f t="shared" si="335"/>
        <v>3.92</v>
      </c>
      <c r="UY41" s="90">
        <f t="shared" si="336"/>
        <v>3.8019274977895678</v>
      </c>
      <c r="UZ41" s="100">
        <f t="shared" si="337"/>
        <v>3.5511856960000006</v>
      </c>
      <c r="VA41" s="90">
        <f t="shared" si="338"/>
        <v>0.61</v>
      </c>
      <c r="VB41" s="90">
        <f t="shared" si="339"/>
        <v>1.38</v>
      </c>
      <c r="VC41" s="90">
        <f t="shared" si="340"/>
        <v>0</v>
      </c>
      <c r="VD41" s="90">
        <f t="shared" si="341"/>
        <v>0</v>
      </c>
      <c r="VE41" s="90">
        <f t="shared" si="342"/>
        <v>0</v>
      </c>
      <c r="VF41" s="90">
        <f t="shared" si="343"/>
        <v>0</v>
      </c>
      <c r="VG41" s="90">
        <f t="shared" si="344"/>
        <v>0</v>
      </c>
      <c r="VH41" s="90">
        <f t="shared" si="345"/>
        <v>0</v>
      </c>
      <c r="VI41" s="90">
        <f t="shared" si="346"/>
        <v>0</v>
      </c>
      <c r="VJ41" s="90">
        <f t="shared" si="347"/>
        <v>0</v>
      </c>
      <c r="VK41" s="90">
        <f t="shared" si="348"/>
        <v>0.91</v>
      </c>
      <c r="VL41" s="90">
        <f t="shared" si="349"/>
        <v>3.64</v>
      </c>
      <c r="VM41" s="90">
        <f t="shared" si="350"/>
        <v>5.27</v>
      </c>
      <c r="VN41" s="90">
        <f t="shared" si="351"/>
        <v>0</v>
      </c>
      <c r="VO41" s="90">
        <f t="shared" si="352"/>
        <v>5.27</v>
      </c>
      <c r="VP41" s="97">
        <v>0</v>
      </c>
      <c r="VQ41" s="97">
        <v>5.27</v>
      </c>
      <c r="VR41" s="90">
        <f t="shared" si="353"/>
        <v>0.44</v>
      </c>
      <c r="VS41" s="90">
        <f t="shared" si="354"/>
        <v>0.15</v>
      </c>
      <c r="VT41" s="90">
        <v>0.11989898989898991</v>
      </c>
      <c r="VU41" s="90">
        <f t="shared" si="355"/>
        <v>0.15410000000000001</v>
      </c>
      <c r="VV41" s="90">
        <v>0.38175323599898991</v>
      </c>
      <c r="VW41" s="90">
        <f t="shared" si="356"/>
        <v>0.59</v>
      </c>
      <c r="VX41" s="90">
        <f t="shared" si="357"/>
        <v>15.41</v>
      </c>
      <c r="VY41" s="90">
        <f t="shared" si="358"/>
        <v>15.41</v>
      </c>
      <c r="VZ41" s="90">
        <f t="shared" si="359"/>
        <v>0</v>
      </c>
      <c r="WA41" s="90"/>
      <c r="WB41" s="90">
        <f t="shared" si="360"/>
        <v>15.41</v>
      </c>
      <c r="WC41" s="90">
        <f t="shared" si="361"/>
        <v>0</v>
      </c>
      <c r="WD41" s="90"/>
      <c r="WE41" s="90">
        <v>15.41</v>
      </c>
      <c r="WF41" s="90"/>
      <c r="WG41" s="90">
        <f t="shared" si="362"/>
        <v>8714.3549999999977</v>
      </c>
      <c r="WH41" s="90">
        <f t="shared" si="363"/>
        <v>8714.3549999999977</v>
      </c>
      <c r="WI41" s="90">
        <f t="shared" si="364"/>
        <v>8717.7799999999988</v>
      </c>
      <c r="WJ41" s="90">
        <f t="shared" si="365"/>
        <v>5737.59</v>
      </c>
      <c r="WK41" s="97">
        <v>2980.19</v>
      </c>
      <c r="WL41" s="97">
        <v>5.27</v>
      </c>
      <c r="WM41" s="90">
        <f t="shared" si="366"/>
        <v>2980.19</v>
      </c>
      <c r="WN41" s="90">
        <f t="shared" si="367"/>
        <v>5.27</v>
      </c>
      <c r="WO41" s="90"/>
      <c r="WP41" s="97">
        <v>15.41</v>
      </c>
      <c r="WQ41" s="90">
        <f t="shared" si="368"/>
        <v>15.41</v>
      </c>
      <c r="WR41" s="91">
        <f t="shared" si="369"/>
        <v>105.69272976680386</v>
      </c>
      <c r="WS41" s="91">
        <f t="shared" si="370"/>
        <v>136.61347517730499</v>
      </c>
      <c r="WT41" s="90">
        <f t="shared" si="371"/>
        <v>8714.36</v>
      </c>
      <c r="WU41" s="90">
        <f t="shared" si="372"/>
        <v>8717.7799999999988</v>
      </c>
      <c r="WV41" s="90">
        <f t="shared" si="373"/>
        <v>-3.4199999999982538</v>
      </c>
      <c r="WW41" s="90">
        <v>3.3</v>
      </c>
      <c r="WX41" s="90"/>
      <c r="WY41" s="90"/>
      <c r="WZ41" s="90">
        <f t="shared" si="374"/>
        <v>5.2420434343434339</v>
      </c>
      <c r="XA41" s="90">
        <v>0</v>
      </c>
      <c r="XB41" s="90">
        <f t="shared" si="375"/>
        <v>5.2420434343434339</v>
      </c>
      <c r="XC41" s="90">
        <f t="shared" si="376"/>
        <v>0.46229999999999999</v>
      </c>
      <c r="XD41" s="90">
        <f t="shared" si="377"/>
        <v>0.15565656565656566</v>
      </c>
      <c r="XE41" s="90"/>
      <c r="XF41" s="90">
        <f t="shared" si="378"/>
        <v>15.41</v>
      </c>
      <c r="XG41" s="90">
        <v>5.4433720895962265</v>
      </c>
      <c r="XH41" s="20">
        <v>14.579999999999998</v>
      </c>
      <c r="XI41" s="20">
        <v>0</v>
      </c>
      <c r="XJ41" s="20"/>
      <c r="XK41" s="20"/>
      <c r="XL41" s="20"/>
      <c r="XM41" s="20">
        <f t="shared" si="379"/>
        <v>14.579999999999998</v>
      </c>
      <c r="XN41" s="91">
        <f t="shared" si="380"/>
        <v>105.69272976680386</v>
      </c>
      <c r="XO41" s="20">
        <f t="shared" si="381"/>
        <v>14.579999999999998</v>
      </c>
      <c r="XP41" s="90">
        <f t="shared" si="382"/>
        <v>11.279999999999998</v>
      </c>
      <c r="XQ41" s="91">
        <f t="shared" si="383"/>
        <v>105.69272976680386</v>
      </c>
      <c r="XR41" s="102"/>
      <c r="XS41" s="90">
        <f t="shared" si="384"/>
        <v>3.64</v>
      </c>
      <c r="XT41" s="90">
        <f t="shared" si="385"/>
        <v>5.91</v>
      </c>
      <c r="XU41" s="90">
        <f t="shared" si="386"/>
        <v>3.92</v>
      </c>
      <c r="XV41" s="90">
        <f t="shared" si="387"/>
        <v>0.61</v>
      </c>
      <c r="XW41" s="90">
        <f t="shared" si="388"/>
        <v>0.61</v>
      </c>
      <c r="XX41" s="90">
        <f t="shared" si="389"/>
        <v>0</v>
      </c>
      <c r="XY41" s="90">
        <f t="shared" si="390"/>
        <v>1.38</v>
      </c>
      <c r="XZ41" s="90">
        <f t="shared" si="391"/>
        <v>0</v>
      </c>
      <c r="YA41" s="90">
        <f t="shared" si="392"/>
        <v>0</v>
      </c>
      <c r="YB41" s="90">
        <f t="shared" ref="YB41:YC60" si="552">VD41</f>
        <v>0</v>
      </c>
      <c r="YC41" s="90">
        <f t="shared" si="552"/>
        <v>0</v>
      </c>
      <c r="YD41" s="90">
        <f t="shared" si="394"/>
        <v>1.38</v>
      </c>
      <c r="YE41" s="90">
        <f t="shared" si="395"/>
        <v>5.27</v>
      </c>
      <c r="YF41" s="90">
        <f t="shared" si="396"/>
        <v>0.59</v>
      </c>
      <c r="YG41" s="90">
        <f t="shared" si="397"/>
        <v>15.41</v>
      </c>
      <c r="YI41" s="103" t="s">
        <v>475</v>
      </c>
      <c r="YK41" s="90">
        <f t="shared" si="398"/>
        <v>1.07</v>
      </c>
      <c r="YL41" s="90">
        <f t="shared" ref="YL41:YM60" si="553">VA41</f>
        <v>0.61</v>
      </c>
      <c r="YM41" s="90">
        <f t="shared" si="553"/>
        <v>1.38</v>
      </c>
      <c r="YN41" s="90">
        <f t="shared" si="400"/>
        <v>3.64</v>
      </c>
      <c r="YO41" s="90">
        <f t="shared" si="401"/>
        <v>8.7099999999999991</v>
      </c>
      <c r="YP41" s="90">
        <f t="shared" si="402"/>
        <v>0</v>
      </c>
      <c r="YQ41" s="90">
        <f t="shared" si="403"/>
        <v>15.41</v>
      </c>
      <c r="YR41" s="90">
        <f t="shared" si="404"/>
        <v>0</v>
      </c>
      <c r="YS41" s="104">
        <f t="shared" si="405"/>
        <v>15.41</v>
      </c>
      <c r="YT41" s="104">
        <f t="shared" si="406"/>
        <v>0</v>
      </c>
      <c r="YY41" s="90">
        <f t="shared" si="407"/>
        <v>7.8599999999999994</v>
      </c>
      <c r="YZ41" s="90">
        <f t="shared" si="408"/>
        <v>4.18</v>
      </c>
      <c r="ZA41" s="90">
        <f t="shared" si="409"/>
        <v>0.64</v>
      </c>
      <c r="ZB41" s="90">
        <f t="shared" si="410"/>
        <v>3.04</v>
      </c>
      <c r="ZC41" s="90">
        <f t="shared" si="411"/>
        <v>0</v>
      </c>
      <c r="ZD41" s="90">
        <f t="shared" si="412"/>
        <v>0</v>
      </c>
      <c r="ZE41" s="90">
        <f t="shared" si="413"/>
        <v>0</v>
      </c>
      <c r="ZF41" s="90">
        <f t="shared" si="414"/>
        <v>0</v>
      </c>
      <c r="ZG41" s="90">
        <f t="shared" si="415"/>
        <v>0</v>
      </c>
      <c r="ZH41" s="90">
        <f t="shared" si="416"/>
        <v>0</v>
      </c>
      <c r="ZI41" s="90">
        <f t="shared" si="417"/>
        <v>0</v>
      </c>
      <c r="ZJ41" s="90">
        <f t="shared" si="418"/>
        <v>0</v>
      </c>
      <c r="ZK41" s="90">
        <f t="shared" si="419"/>
        <v>0</v>
      </c>
      <c r="ZL41" s="90">
        <f t="shared" si="420"/>
        <v>0.02</v>
      </c>
      <c r="ZM41" s="90">
        <f t="shared" si="421"/>
        <v>4.1100000000000003</v>
      </c>
      <c r="ZN41" s="90">
        <f t="shared" si="422"/>
        <v>8.52</v>
      </c>
      <c r="ZO41" s="90">
        <f t="shared" si="423"/>
        <v>6.65</v>
      </c>
      <c r="ZP41" s="90">
        <f t="shared" si="424"/>
        <v>5.48</v>
      </c>
      <c r="ZQ41" s="90">
        <f t="shared" si="425"/>
        <v>0</v>
      </c>
      <c r="ZR41" s="90">
        <f t="shared" si="426"/>
        <v>5.48</v>
      </c>
      <c r="ZS41" s="97">
        <v>227</v>
      </c>
      <c r="ZT41" s="97">
        <v>230.38</v>
      </c>
      <c r="ZU41" s="90">
        <f t="shared" si="427"/>
        <v>0.55000000000000004</v>
      </c>
      <c r="ZV41" s="90">
        <f t="shared" si="428"/>
        <v>0.19</v>
      </c>
      <c r="ZW41" s="90">
        <v>0.11989898989898991</v>
      </c>
      <c r="ZX41" s="90">
        <f t="shared" si="429"/>
        <v>0.18189999999999998</v>
      </c>
      <c r="ZY41" s="90">
        <v>0.38175323599898991</v>
      </c>
      <c r="ZZ41" s="90">
        <f t="shared" si="430"/>
        <v>0.74</v>
      </c>
      <c r="AAA41" s="90">
        <f t="shared" si="431"/>
        <v>18.189999999999998</v>
      </c>
      <c r="AAB41" s="90">
        <f t="shared" si="432"/>
        <v>18.189999999999998</v>
      </c>
      <c r="AAC41" s="90">
        <f t="shared" si="433"/>
        <v>0</v>
      </c>
      <c r="AAD41" s="90"/>
      <c r="AAE41" s="90">
        <f t="shared" si="434"/>
        <v>18.189999999999998</v>
      </c>
      <c r="AAF41" s="90">
        <v>15.41</v>
      </c>
      <c r="AAG41" s="90">
        <f t="shared" si="435"/>
        <v>118.04023361453599</v>
      </c>
      <c r="AAH41" s="90">
        <f t="shared" si="436"/>
        <v>0</v>
      </c>
      <c r="AAI41" s="90">
        <v>0</v>
      </c>
      <c r="AAJ41" s="90"/>
      <c r="AAK41" s="1">
        <v>16.63</v>
      </c>
      <c r="AAL41" s="104">
        <f t="shared" si="437"/>
        <v>1.5599999999999987</v>
      </c>
      <c r="AAM41" s="103" t="s">
        <v>482</v>
      </c>
      <c r="AAN41" s="105">
        <v>7.8</v>
      </c>
      <c r="AAO41" s="90">
        <f t="shared" si="438"/>
        <v>8.65</v>
      </c>
      <c r="AAP41" s="90">
        <v>4.21</v>
      </c>
      <c r="AAQ41" s="90">
        <f t="shared" si="439"/>
        <v>4.18</v>
      </c>
      <c r="AAR41" s="90">
        <v>0.64</v>
      </c>
      <c r="AAS41" s="90">
        <f t="shared" si="440"/>
        <v>0.97</v>
      </c>
      <c r="AAT41" s="90">
        <f t="shared" si="441"/>
        <v>151.5625</v>
      </c>
      <c r="AAU41" s="90">
        <v>2.95</v>
      </c>
      <c r="AAV41" s="90">
        <f t="shared" si="442"/>
        <v>3.04</v>
      </c>
      <c r="AAW41" s="90">
        <f t="shared" si="443"/>
        <v>103.05084745762711</v>
      </c>
      <c r="AAX41" s="90">
        <f t="shared" si="444"/>
        <v>0.46</v>
      </c>
      <c r="AAY41" s="90">
        <f t="shared" si="445"/>
        <v>0</v>
      </c>
      <c r="AAZ41" s="90">
        <f t="shared" si="446"/>
        <v>0</v>
      </c>
      <c r="ABA41" s="90">
        <f t="shared" si="447"/>
        <v>0</v>
      </c>
      <c r="ABB41" s="90">
        <f t="shared" si="448"/>
        <v>0</v>
      </c>
      <c r="ABC41" s="90">
        <v>0</v>
      </c>
      <c r="ABD41" s="90">
        <f t="shared" si="449"/>
        <v>0</v>
      </c>
      <c r="ABE41" s="90"/>
      <c r="ABF41" s="90">
        <v>0</v>
      </c>
      <c r="ABG41" s="90">
        <f t="shared" si="450"/>
        <v>0</v>
      </c>
      <c r="ABH41" s="90"/>
      <c r="ABI41" s="90">
        <f t="shared" si="451"/>
        <v>0</v>
      </c>
      <c r="ABJ41" s="90">
        <f t="shared" si="452"/>
        <v>0</v>
      </c>
      <c r="ABK41" s="90">
        <v>0</v>
      </c>
      <c r="ABL41" s="90">
        <f t="shared" si="453"/>
        <v>0</v>
      </c>
      <c r="ABM41" s="90">
        <f t="shared" si="454"/>
        <v>0</v>
      </c>
      <c r="ABN41" s="90">
        <f t="shared" si="455"/>
        <v>0.02</v>
      </c>
      <c r="ABO41" s="90">
        <v>3.91</v>
      </c>
      <c r="ABP41" s="90">
        <f t="shared" si="456"/>
        <v>4.1100000000000003</v>
      </c>
      <c r="ABQ41" s="90">
        <f t="shared" si="457"/>
        <v>105.1150895140665</v>
      </c>
      <c r="ABR41" s="90">
        <f t="shared" si="458"/>
        <v>8.52</v>
      </c>
      <c r="ABS41" s="90">
        <f t="shared" si="459"/>
        <v>6.65</v>
      </c>
      <c r="ABT41" s="90">
        <v>4.2699999999999996</v>
      </c>
      <c r="ABU41" s="90">
        <f t="shared" si="460"/>
        <v>5.48</v>
      </c>
      <c r="ABV41" s="90">
        <f t="shared" si="461"/>
        <v>128.33723653395788</v>
      </c>
      <c r="ABW41" s="90">
        <f t="shared" si="462"/>
        <v>0</v>
      </c>
      <c r="ABX41" s="90">
        <f t="shared" si="463"/>
        <v>5.48</v>
      </c>
      <c r="ABY41" s="97">
        <v>227</v>
      </c>
      <c r="ABZ41" s="97">
        <v>230.38</v>
      </c>
      <c r="ACA41" s="90">
        <f t="shared" si="464"/>
        <v>0.55000000000000004</v>
      </c>
      <c r="ACB41" s="90">
        <f t="shared" si="465"/>
        <v>0.19</v>
      </c>
      <c r="ACC41" s="90">
        <v>0.11989898989898991</v>
      </c>
      <c r="ACD41" s="90">
        <f t="shared" si="466"/>
        <v>0.1852</v>
      </c>
      <c r="ACE41" s="90">
        <v>0.38175323599898991</v>
      </c>
      <c r="ACF41" s="90">
        <v>0.65</v>
      </c>
      <c r="ACG41" s="90">
        <f t="shared" si="467"/>
        <v>0.74</v>
      </c>
      <c r="ACH41" s="90">
        <f t="shared" si="468"/>
        <v>113.84615384615384</v>
      </c>
      <c r="ACI41" s="90">
        <f t="shared" si="469"/>
        <v>18.98</v>
      </c>
      <c r="ACJ41" s="90">
        <f t="shared" si="470"/>
        <v>18.52</v>
      </c>
      <c r="ACK41" s="90">
        <f t="shared" si="471"/>
        <v>-0.46000000000000085</v>
      </c>
      <c r="ACL41" s="90"/>
      <c r="ACM41" s="90">
        <f t="shared" si="472"/>
        <v>18.98</v>
      </c>
      <c r="ACN41" s="90">
        <f t="shared" si="473"/>
        <v>0</v>
      </c>
      <c r="ACO41" s="90">
        <f t="shared" si="474"/>
        <v>18.98</v>
      </c>
      <c r="ACP41" s="90">
        <v>16.63</v>
      </c>
      <c r="ACQ41" s="90">
        <f t="shared" si="475"/>
        <v>114.13108839446784</v>
      </c>
      <c r="ACR41" s="90">
        <f t="shared" si="476"/>
        <v>0</v>
      </c>
      <c r="ACS41" s="90">
        <v>0</v>
      </c>
      <c r="ACT41" s="90"/>
      <c r="ACU41" s="90">
        <f t="shared" si="477"/>
        <v>17.478129999999997</v>
      </c>
      <c r="ACV41" s="90">
        <f t="shared" si="478"/>
        <v>-1.5018700000000038</v>
      </c>
      <c r="ACX41" s="106" t="s">
        <v>482</v>
      </c>
      <c r="ACY41" s="107">
        <f>60000</f>
        <v>60000</v>
      </c>
      <c r="ACZ41" s="107">
        <v>60000</v>
      </c>
      <c r="ADB41" s="90">
        <f t="shared" si="479"/>
        <v>4.1100000000000003</v>
      </c>
      <c r="ADC41" s="90">
        <f t="shared" si="480"/>
        <v>8.6499999999999986</v>
      </c>
      <c r="ADD41" s="90">
        <f t="shared" si="481"/>
        <v>4.18</v>
      </c>
      <c r="ADE41" s="90">
        <f t="shared" si="517"/>
        <v>1.43</v>
      </c>
      <c r="ADF41" s="90">
        <f t="shared" si="483"/>
        <v>0.97</v>
      </c>
      <c r="ADG41" s="90">
        <f t="shared" ref="ADG41:ADI60" si="554">AAX41</f>
        <v>0.46</v>
      </c>
      <c r="ADH41" s="90">
        <f t="shared" si="554"/>
        <v>0</v>
      </c>
      <c r="ADI41" s="90">
        <f t="shared" si="554"/>
        <v>0</v>
      </c>
      <c r="ADJ41" s="90">
        <f t="shared" si="485"/>
        <v>3.04</v>
      </c>
      <c r="ADK41" s="90">
        <f t="shared" si="486"/>
        <v>0</v>
      </c>
      <c r="ADL41" s="90">
        <f t="shared" si="487"/>
        <v>0</v>
      </c>
      <c r="ADM41" s="90">
        <f t="shared" ref="ADM41:ADN60" si="555">ABA41</f>
        <v>0</v>
      </c>
      <c r="ADN41" s="90">
        <f t="shared" si="555"/>
        <v>0</v>
      </c>
      <c r="ADO41" s="90">
        <f t="shared" si="489"/>
        <v>3.04</v>
      </c>
      <c r="ADP41" s="90">
        <f t="shared" si="490"/>
        <v>5.48</v>
      </c>
      <c r="ADQ41" s="90">
        <f t="shared" si="491"/>
        <v>0.74</v>
      </c>
      <c r="ADR41" s="90">
        <f t="shared" si="492"/>
        <v>18.979999999999997</v>
      </c>
      <c r="ADU41" s="90">
        <f t="shared" si="493"/>
        <v>1.1499999999999999</v>
      </c>
      <c r="ADV41" s="90">
        <f t="shared" si="494"/>
        <v>0.97</v>
      </c>
      <c r="ADW41" s="90">
        <f t="shared" si="495"/>
        <v>3.04</v>
      </c>
      <c r="ADX41" s="90">
        <f t="shared" si="496"/>
        <v>4.1100000000000003</v>
      </c>
      <c r="ADY41" s="90">
        <f t="shared" si="497"/>
        <v>9.25</v>
      </c>
      <c r="ADZ41" s="90">
        <f t="shared" si="498"/>
        <v>0</v>
      </c>
      <c r="AEA41" s="90">
        <f t="shared" si="499"/>
        <v>18.98</v>
      </c>
      <c r="AEB41" s="90">
        <f t="shared" si="500"/>
        <v>0</v>
      </c>
      <c r="AEC41" s="104">
        <f t="shared" si="501"/>
        <v>18.52</v>
      </c>
      <c r="AED41" s="104">
        <f t="shared" si="502"/>
        <v>0.46000000000000085</v>
      </c>
      <c r="AEG41" s="1">
        <v>7.8</v>
      </c>
      <c r="AEH41" s="1">
        <v>4.21</v>
      </c>
      <c r="AEI41" s="1">
        <v>0.64</v>
      </c>
      <c r="AEJ41" s="1">
        <v>2.95</v>
      </c>
      <c r="AEK41" s="1">
        <v>0</v>
      </c>
      <c r="AEL41" s="1">
        <v>0</v>
      </c>
      <c r="AEM41" s="1">
        <v>0</v>
      </c>
      <c r="AEN41" s="1">
        <v>0</v>
      </c>
      <c r="AEO41" s="1">
        <v>0</v>
      </c>
      <c r="AEP41" s="1">
        <v>0</v>
      </c>
      <c r="AEQ41" s="1">
        <v>0</v>
      </c>
      <c r="AER41" s="1">
        <v>0</v>
      </c>
      <c r="AES41" s="1">
        <v>0</v>
      </c>
      <c r="AET41" s="1">
        <v>0</v>
      </c>
      <c r="AEU41" s="1">
        <v>0</v>
      </c>
      <c r="AEV41" s="1">
        <v>0.02</v>
      </c>
      <c r="AEW41" s="1">
        <v>3.91</v>
      </c>
      <c r="AEX41" s="1">
        <v>7.22</v>
      </c>
      <c r="AEY41" s="1">
        <v>6.65</v>
      </c>
      <c r="AEZ41" s="1">
        <v>4.2699999999999996</v>
      </c>
      <c r="AFA41" s="1">
        <v>0</v>
      </c>
      <c r="AFB41" s="1">
        <v>4.2699999999999996</v>
      </c>
      <c r="AFC41" s="1">
        <v>227</v>
      </c>
      <c r="AFD41" s="1">
        <v>230.38</v>
      </c>
      <c r="AFE41" s="1">
        <v>0.48</v>
      </c>
      <c r="AFF41" s="1">
        <v>0.17</v>
      </c>
      <c r="AFG41" s="1">
        <v>0.11989898989898991</v>
      </c>
      <c r="AFH41" s="1">
        <v>0.1663</v>
      </c>
      <c r="AFI41" s="1">
        <v>0.38175323599898991</v>
      </c>
      <c r="AFJ41" s="1">
        <v>0.65</v>
      </c>
      <c r="AFK41" s="1">
        <v>16.63</v>
      </c>
      <c r="AFL41" s="1">
        <v>16.63</v>
      </c>
      <c r="AFM41" s="1">
        <v>0</v>
      </c>
      <c r="AFO41" s="1">
        <v>16.63</v>
      </c>
      <c r="AFP41" s="1">
        <v>0</v>
      </c>
      <c r="AFQ41" s="1">
        <v>16.63</v>
      </c>
      <c r="AFX41" s="1">
        <v>18.670000000000002</v>
      </c>
    </row>
    <row r="42" spans="1:856" s="1" customFormat="1" ht="63.75" customHeight="1">
      <c r="A42" s="88">
        <v>34</v>
      </c>
      <c r="B42" s="20"/>
      <c r="C42" s="89" t="s">
        <v>526</v>
      </c>
      <c r="D42" s="20"/>
      <c r="E42" s="20" t="s">
        <v>437</v>
      </c>
      <c r="F42" s="20" t="s">
        <v>438</v>
      </c>
      <c r="G42" s="20">
        <v>0.8</v>
      </c>
      <c r="H42" s="20">
        <v>566.79999999999995</v>
      </c>
      <c r="I42" s="20">
        <f>566.8+0.6+0.4-0.5-0.1+0.6+0.7</f>
        <v>568.5</v>
      </c>
      <c r="J42" s="20">
        <f t="shared" si="0"/>
        <v>454.8</v>
      </c>
      <c r="K42" s="20">
        <v>12</v>
      </c>
      <c r="L42" s="20"/>
      <c r="M42" s="20"/>
      <c r="N42" s="20"/>
      <c r="O42" s="90">
        <f t="shared" si="1"/>
        <v>0</v>
      </c>
      <c r="P42" s="20"/>
      <c r="Q42" s="20"/>
      <c r="R42" s="90">
        <f t="shared" si="2"/>
        <v>0</v>
      </c>
      <c r="S42" s="20">
        <v>58.4</v>
      </c>
      <c r="T42" s="20">
        <v>2.6</v>
      </c>
      <c r="U42" s="20">
        <v>3.13</v>
      </c>
      <c r="V42" s="91">
        <f t="shared" si="3"/>
        <v>475.26</v>
      </c>
      <c r="W42" s="20">
        <v>2.1000000000000001E-2</v>
      </c>
      <c r="X42" s="20">
        <f t="shared" si="4"/>
        <v>33.42</v>
      </c>
      <c r="Y42" s="91">
        <f t="shared" si="5"/>
        <v>40.99</v>
      </c>
      <c r="Z42" s="20"/>
      <c r="AA42" s="20"/>
      <c r="AB42" s="20"/>
      <c r="AC42" s="91">
        <f t="shared" si="6"/>
        <v>516.25</v>
      </c>
      <c r="AD42" s="90">
        <f t="shared" si="7"/>
        <v>0.91</v>
      </c>
      <c r="AE42" s="92">
        <f t="shared" si="8"/>
        <v>6195</v>
      </c>
      <c r="AF42" s="20">
        <v>35</v>
      </c>
      <c r="AG42" s="20">
        <v>34</v>
      </c>
      <c r="AH42" s="20">
        <v>34</v>
      </c>
      <c r="AI42" s="20">
        <f>15+16</f>
        <v>31</v>
      </c>
      <c r="AJ42" s="20">
        <v>1.6</v>
      </c>
      <c r="AK42" s="90">
        <f t="shared" si="9"/>
        <v>4.53</v>
      </c>
      <c r="AL42" s="90">
        <v>391.01</v>
      </c>
      <c r="AM42" s="90">
        <f t="shared" si="10"/>
        <v>1771.28</v>
      </c>
      <c r="AN42" s="20">
        <v>35</v>
      </c>
      <c r="AO42" s="20">
        <v>35</v>
      </c>
      <c r="AP42" s="20">
        <v>35</v>
      </c>
      <c r="AQ42" s="20">
        <v>35</v>
      </c>
      <c r="AR42" s="20">
        <v>35</v>
      </c>
      <c r="AS42" s="20">
        <f>15+16</f>
        <v>31</v>
      </c>
      <c r="AT42" s="20">
        <f t="shared" si="11"/>
        <v>1</v>
      </c>
      <c r="AU42" s="20">
        <v>1.6</v>
      </c>
      <c r="AV42" s="90">
        <f t="shared" si="12"/>
        <v>4.67</v>
      </c>
      <c r="AW42" s="90">
        <f t="shared" si="551"/>
        <v>188.88</v>
      </c>
      <c r="AX42" s="90">
        <v>780.7</v>
      </c>
      <c r="AY42" s="90">
        <f t="shared" si="14"/>
        <v>1.37</v>
      </c>
      <c r="AZ42" s="90">
        <f t="shared" si="15"/>
        <v>1824.71</v>
      </c>
      <c r="BA42" s="90">
        <f t="shared" si="16"/>
        <v>-1044.01</v>
      </c>
      <c r="BB42" s="90">
        <v>780.7</v>
      </c>
      <c r="BC42" s="90">
        <v>1.37</v>
      </c>
      <c r="BD42" s="92">
        <f t="shared" si="17"/>
        <v>9368.4000000000015</v>
      </c>
      <c r="BE42" s="90"/>
      <c r="BF42" s="90">
        <f t="shared" si="18"/>
        <v>0</v>
      </c>
      <c r="BG42" s="90">
        <v>391.01</v>
      </c>
      <c r="BH42" s="90">
        <f t="shared" si="19"/>
        <v>1826.02</v>
      </c>
      <c r="BI42" s="90">
        <f t="shared" si="20"/>
        <v>3.21</v>
      </c>
      <c r="BJ42" s="90">
        <f t="shared" si="21"/>
        <v>234.30656934306566</v>
      </c>
      <c r="BK42" s="90">
        <f t="shared" si="22"/>
        <v>1826.02</v>
      </c>
      <c r="BL42" s="90">
        <f t="shared" si="23"/>
        <v>3.21</v>
      </c>
      <c r="BM42" s="90"/>
      <c r="BN42" s="90">
        <f t="shared" si="24"/>
        <v>0</v>
      </c>
      <c r="BO42" s="90">
        <f t="shared" si="25"/>
        <v>1826.02</v>
      </c>
      <c r="BP42" s="90">
        <f t="shared" si="26"/>
        <v>3.2119964819700968</v>
      </c>
      <c r="BQ42" s="90"/>
      <c r="BR42" s="90">
        <f t="shared" si="27"/>
        <v>0</v>
      </c>
      <c r="BS42" s="90">
        <f t="shared" si="28"/>
        <v>1826.02</v>
      </c>
      <c r="BT42" s="90">
        <f t="shared" si="29"/>
        <v>3.2119964819700968</v>
      </c>
      <c r="BU42" s="90"/>
      <c r="BV42" s="93">
        <v>1.4356370000000001</v>
      </c>
      <c r="BW42" s="90">
        <f t="shared" si="30"/>
        <v>816.15963450000004</v>
      </c>
      <c r="BX42" s="90">
        <f t="shared" si="31"/>
        <v>865.12921257000005</v>
      </c>
      <c r="BY42" s="90"/>
      <c r="BZ42" s="90"/>
      <c r="CA42" s="90">
        <v>0.2651</v>
      </c>
      <c r="CB42" s="90">
        <f>I42*CA42</f>
        <v>150.70935</v>
      </c>
      <c r="CC42" s="90">
        <v>0.71072749999999996</v>
      </c>
      <c r="CD42" s="90">
        <f t="shared" si="33"/>
        <v>107.11327955212499</v>
      </c>
      <c r="CE42" s="90">
        <f t="shared" si="34"/>
        <v>161.96615329469142</v>
      </c>
      <c r="CF42" s="90">
        <v>157.92316161528157</v>
      </c>
      <c r="CG42" s="90">
        <f>I42*0.2781317</f>
        <v>158.11787145</v>
      </c>
      <c r="CH42" s="90">
        <f t="shared" si="35"/>
        <v>165.71</v>
      </c>
      <c r="CI42" s="90">
        <f t="shared" si="524"/>
        <v>173.91338563933149</v>
      </c>
      <c r="CJ42" s="90">
        <f t="shared" si="36"/>
        <v>174.82</v>
      </c>
      <c r="CK42" s="90">
        <f t="shared" si="37"/>
        <v>184.89685224770045</v>
      </c>
      <c r="CL42" s="90">
        <f t="shared" si="38"/>
        <v>184.89685224770045</v>
      </c>
      <c r="CM42" s="94">
        <v>0.14899999999999999</v>
      </c>
      <c r="CN42" s="90">
        <f t="shared" si="39"/>
        <v>121.6077855405</v>
      </c>
      <c r="CO42" s="90">
        <f t="shared" si="40"/>
        <v>128.90425267293</v>
      </c>
      <c r="CP42" s="90"/>
      <c r="CQ42" s="90">
        <v>3.9539249999999998E-2</v>
      </c>
      <c r="CR42" s="90">
        <f>I42*CQ42</f>
        <v>22.478063624999997</v>
      </c>
      <c r="CS42" s="90">
        <v>0.71072749999999996</v>
      </c>
      <c r="CT42" s="90">
        <f t="shared" si="42"/>
        <v>15.975777965037185</v>
      </c>
      <c r="CU42" s="90">
        <f t="shared" si="43"/>
        <v>24.156998214474264</v>
      </c>
      <c r="CV42" s="90">
        <f>I42*0.0859436</f>
        <v>48.8589366</v>
      </c>
      <c r="CW42" s="90">
        <f t="shared" si="44"/>
        <v>51.2</v>
      </c>
      <c r="CX42" s="90">
        <f t="shared" si="525"/>
        <v>53.73462883793237</v>
      </c>
      <c r="CY42" s="90">
        <f t="shared" si="45"/>
        <v>54.02</v>
      </c>
      <c r="CZ42" s="90">
        <f t="shared" si="46"/>
        <v>57.128229045213111</v>
      </c>
      <c r="DA42" s="90">
        <f t="shared" si="47"/>
        <v>57.128229045213111</v>
      </c>
      <c r="DB42" s="93">
        <v>1.4169099999999999</v>
      </c>
      <c r="DC42" s="90">
        <f t="shared" si="48"/>
        <v>805.51333499999998</v>
      </c>
      <c r="DD42" s="90">
        <f t="shared" si="49"/>
        <v>853.84413510000002</v>
      </c>
      <c r="DE42" s="90"/>
      <c r="DF42" s="90"/>
      <c r="DG42" s="90">
        <v>0.16261541099999999</v>
      </c>
      <c r="DH42" s="90">
        <f>I42*DG42</f>
        <v>92.446861153499995</v>
      </c>
      <c r="DI42" s="90">
        <v>0.71072749999999996</v>
      </c>
      <c r="DJ42" s="90">
        <f t="shared" si="51"/>
        <v>65.704526510474167</v>
      </c>
      <c r="DK42" s="90">
        <f t="shared" si="52"/>
        <v>99.351914696738021</v>
      </c>
      <c r="DL42" s="90">
        <f>I42*0.1382523</f>
        <v>78.596432550000003</v>
      </c>
      <c r="DM42" s="90">
        <f t="shared" si="53"/>
        <v>82.37</v>
      </c>
      <c r="DN42" s="90">
        <f t="shared" si="526"/>
        <v>86.447683151962678</v>
      </c>
      <c r="DO42" s="90">
        <f t="shared" si="54"/>
        <v>86.9</v>
      </c>
      <c r="DP42" s="90">
        <f t="shared" si="55"/>
        <v>91.907270047933665</v>
      </c>
      <c r="DQ42" s="90">
        <f t="shared" si="56"/>
        <v>91.907270047933665</v>
      </c>
      <c r="DR42" s="93">
        <v>5.6880149999999997E-2</v>
      </c>
      <c r="DS42" s="90">
        <f t="shared" si="57"/>
        <v>32.336365274999999</v>
      </c>
      <c r="DT42" s="90">
        <f t="shared" si="58"/>
        <v>34.276547191500001</v>
      </c>
      <c r="DU42" s="90"/>
      <c r="DV42" s="90">
        <v>6.1506E-3</v>
      </c>
      <c r="DW42" s="90">
        <f>I42*DV42</f>
        <v>3.4966160999999998</v>
      </c>
      <c r="DX42" s="90">
        <v>0.71072749999999996</v>
      </c>
      <c r="DY42" s="90">
        <f t="shared" si="60"/>
        <v>2.4851412192127498</v>
      </c>
      <c r="DZ42" s="90">
        <f t="shared" si="61"/>
        <v>3.7577858259310788</v>
      </c>
      <c r="EA42" s="90">
        <f t="shared" si="62"/>
        <v>3.94</v>
      </c>
      <c r="EB42" s="90">
        <f t="shared" si="527"/>
        <v>4.1350476097940136</v>
      </c>
      <c r="EC42" s="90">
        <f t="shared" si="63"/>
        <v>4.16</v>
      </c>
      <c r="ED42" s="90">
        <f t="shared" si="64"/>
        <v>4.3961957507449139</v>
      </c>
      <c r="EE42" s="90">
        <f t="shared" si="65"/>
        <v>4.3961957507449139</v>
      </c>
      <c r="EF42" s="94">
        <v>0.85293354333000004</v>
      </c>
      <c r="EG42" s="90">
        <f t="shared" si="66"/>
        <v>387.91417550648401</v>
      </c>
      <c r="EH42" s="90">
        <f t="shared" si="67"/>
        <v>411.18902603687309</v>
      </c>
      <c r="EI42" s="90"/>
      <c r="EJ42" s="90">
        <v>0.58975</v>
      </c>
      <c r="EK42" s="90">
        <f t="shared" si="68"/>
        <v>268.2183</v>
      </c>
      <c r="EL42" s="90">
        <v>0.71072749999999996</v>
      </c>
      <c r="EM42" s="90">
        <f t="shared" si="69"/>
        <v>190.63012181324999</v>
      </c>
      <c r="EN42" s="90">
        <f t="shared" si="70"/>
        <v>288.25209779115585</v>
      </c>
      <c r="EO42" s="90">
        <f>J42*0.6181097</f>
        <v>281.11629155999998</v>
      </c>
      <c r="EP42" s="90">
        <f t="shared" si="71"/>
        <v>294.61</v>
      </c>
      <c r="EQ42" s="90">
        <f t="shared" si="528"/>
        <v>309.19451175670423</v>
      </c>
      <c r="ER42" s="90">
        <f t="shared" si="72"/>
        <v>310.81</v>
      </c>
      <c r="ES42" s="90">
        <f t="shared" si="73"/>
        <v>328.72163201191864</v>
      </c>
      <c r="ET42" s="90">
        <f t="shared" si="74"/>
        <v>328.72163201191864</v>
      </c>
      <c r="EU42" s="94">
        <v>0.14899999999999999</v>
      </c>
      <c r="EV42" s="90">
        <f t="shared" si="75"/>
        <v>57.799212150466118</v>
      </c>
      <c r="EW42" s="90">
        <f t="shared" si="76"/>
        <v>61.267164879494089</v>
      </c>
      <c r="EX42" s="90"/>
      <c r="EY42" s="90">
        <v>8.7870000000000004E-2</v>
      </c>
      <c r="EZ42" s="90">
        <f t="shared" si="77"/>
        <v>39.963276</v>
      </c>
      <c r="FA42" s="90">
        <v>0.71072749999999996</v>
      </c>
      <c r="FB42" s="90">
        <f t="shared" si="78"/>
        <v>28.402999243289997</v>
      </c>
      <c r="FC42" s="90">
        <f t="shared" si="79"/>
        <v>42.948218453427494</v>
      </c>
      <c r="FD42" s="90">
        <f>J42*0.19113</f>
        <v>86.925923999999995</v>
      </c>
      <c r="FE42" s="90">
        <f t="shared" si="80"/>
        <v>91.1</v>
      </c>
      <c r="FF42" s="90">
        <f t="shared" si="529"/>
        <v>95.609857170617929</v>
      </c>
      <c r="FG42" s="90">
        <f t="shared" si="81"/>
        <v>96.11</v>
      </c>
      <c r="FH42" s="90">
        <f t="shared" si="82"/>
        <v>101.64807941443189</v>
      </c>
      <c r="FI42" s="90">
        <f t="shared" si="83"/>
        <v>101.64807941443189</v>
      </c>
      <c r="FJ42" s="93">
        <v>0.49981642240000002</v>
      </c>
      <c r="FK42" s="90">
        <f t="shared" si="84"/>
        <v>227.31650890752002</v>
      </c>
      <c r="FL42" s="90">
        <f t="shared" si="85"/>
        <v>240.95549944197123</v>
      </c>
      <c r="FM42" s="90"/>
      <c r="FN42" s="90">
        <v>0.35812500000000003</v>
      </c>
      <c r="FO42" s="90">
        <f t="shared" si="86"/>
        <v>162.87525000000002</v>
      </c>
      <c r="FP42" s="90">
        <v>0.71072749999999996</v>
      </c>
      <c r="FQ42" s="90">
        <f t="shared" si="87"/>
        <v>115.75991924437501</v>
      </c>
      <c r="FR42" s="90">
        <f t="shared" si="88"/>
        <v>175.04075035431572</v>
      </c>
      <c r="FS42" s="90">
        <f>J42*0.303398</f>
        <v>137.98541040000001</v>
      </c>
      <c r="FT42" s="90">
        <f t="shared" si="89"/>
        <v>144.61000000000001</v>
      </c>
      <c r="FU42" s="90">
        <f>J42*0.303652</f>
        <v>138.1009296</v>
      </c>
      <c r="FV42" s="90">
        <f t="shared" si="90"/>
        <v>144.72999999999999</v>
      </c>
      <c r="FW42" s="90">
        <f t="shared" si="530"/>
        <v>151.89478186941309</v>
      </c>
      <c r="FX42" s="90">
        <f t="shared" si="91"/>
        <v>152.69</v>
      </c>
      <c r="FY42" s="90">
        <f t="shared" si="92"/>
        <v>161.48766776784555</v>
      </c>
      <c r="FZ42" s="90">
        <f t="shared" si="93"/>
        <v>161.48766776784555</v>
      </c>
      <c r="GA42" s="94">
        <v>1.352261642E-2</v>
      </c>
      <c r="GB42" s="90">
        <f t="shared" si="94"/>
        <v>6.1500859478159997</v>
      </c>
      <c r="GC42" s="90">
        <f t="shared" si="95"/>
        <v>6.5190911046849598</v>
      </c>
      <c r="GD42" s="90"/>
      <c r="GE42" s="90">
        <v>1.0749999999999999E-2</v>
      </c>
      <c r="GF42" s="90">
        <f t="shared" si="96"/>
        <v>4.8891</v>
      </c>
      <c r="GG42" s="90">
        <v>0.71072749999999996</v>
      </c>
      <c r="GH42" s="90">
        <f t="shared" si="97"/>
        <v>3.4748178202499997</v>
      </c>
      <c r="GI42" s="90">
        <f t="shared" si="98"/>
        <v>5.2542773230265798</v>
      </c>
      <c r="GJ42" s="90">
        <f t="shared" si="99"/>
        <v>5.51</v>
      </c>
      <c r="GK42" s="90">
        <f t="shared" si="531"/>
        <v>5.782769626894674</v>
      </c>
      <c r="GL42" s="90">
        <f t="shared" si="100"/>
        <v>5.81</v>
      </c>
      <c r="GM42" s="90">
        <f t="shared" si="101"/>
        <v>6.1479793367016438</v>
      </c>
      <c r="GN42" s="90">
        <f t="shared" si="102"/>
        <v>6.1479793367016438</v>
      </c>
      <c r="GO42" s="90">
        <v>2419.1999999999998</v>
      </c>
      <c r="GP42" s="90">
        <f t="shared" si="103"/>
        <v>201.6</v>
      </c>
      <c r="GQ42" s="90">
        <f>1587.6+138.6</f>
        <v>1726.1999999999998</v>
      </c>
      <c r="GR42" s="90">
        <f t="shared" si="104"/>
        <v>143.85</v>
      </c>
      <c r="GS42" s="90">
        <f t="shared" si="105"/>
        <v>345.45</v>
      </c>
      <c r="GT42" s="90">
        <f t="shared" si="106"/>
        <v>0.61</v>
      </c>
      <c r="GU42" s="90">
        <v>2763.36</v>
      </c>
      <c r="GV42" s="90">
        <f>1504.8+132.24</f>
        <v>1637.04</v>
      </c>
      <c r="GW42" s="90">
        <f t="shared" si="107"/>
        <v>366.7</v>
      </c>
      <c r="GX42" s="90">
        <f t="shared" si="108"/>
        <v>0.65</v>
      </c>
      <c r="GY42" s="90">
        <v>4938.4799999999996</v>
      </c>
      <c r="GZ42" s="90">
        <f>1600.56+141.36</f>
        <v>1741.92</v>
      </c>
      <c r="HA42" s="90">
        <f t="shared" si="109"/>
        <v>556.69999999999993</v>
      </c>
      <c r="HB42" s="90">
        <f t="shared" si="110"/>
        <v>0.98</v>
      </c>
      <c r="HC42" s="90">
        <v>4938.4799999999996</v>
      </c>
      <c r="HD42" s="90">
        <f>1600.56+141.36</f>
        <v>1741.92</v>
      </c>
      <c r="HE42" s="90">
        <f t="shared" si="111"/>
        <v>556.69999999999993</v>
      </c>
      <c r="HF42" s="90">
        <f t="shared" si="112"/>
        <v>0.98</v>
      </c>
      <c r="HG42" s="90"/>
      <c r="HH42" s="90"/>
      <c r="HI42" s="90">
        <v>0.96</v>
      </c>
      <c r="HJ42" s="90">
        <f t="shared" si="113"/>
        <v>545.76</v>
      </c>
      <c r="HK42" s="90">
        <f t="shared" si="114"/>
        <v>1.0060861917326298</v>
      </c>
      <c r="HL42" s="90">
        <f t="shared" si="115"/>
        <v>571.96</v>
      </c>
      <c r="HM42" s="90">
        <v>1.07</v>
      </c>
      <c r="HN42" s="90">
        <f t="shared" si="116"/>
        <v>608.29500000000007</v>
      </c>
      <c r="HO42" s="90">
        <v>1.1499999999999999</v>
      </c>
      <c r="HP42" s="90">
        <f t="shared" si="117"/>
        <v>653.78</v>
      </c>
      <c r="HQ42" s="90">
        <v>1.1499999999999999</v>
      </c>
      <c r="HR42" s="90">
        <f t="shared" si="118"/>
        <v>653.78</v>
      </c>
      <c r="HS42" s="90">
        <v>0.31919999999999998</v>
      </c>
      <c r="HT42" s="90">
        <f t="shared" si="119"/>
        <v>181.46519999999998</v>
      </c>
      <c r="HU42" s="90" t="e">
        <f>HT42*#REF!</f>
        <v>#REF!</v>
      </c>
      <c r="HV42" s="90">
        <v>2.83</v>
      </c>
      <c r="HW42" s="90">
        <v>3.1</v>
      </c>
      <c r="HX42" s="90">
        <f t="shared" si="120"/>
        <v>1762.3500000000001</v>
      </c>
      <c r="HY42" s="90">
        <v>1.06</v>
      </c>
      <c r="HZ42" s="90">
        <f t="shared" si="121"/>
        <v>1868.0910000000003</v>
      </c>
      <c r="IA42" s="90">
        <f t="shared" si="122"/>
        <v>3.29</v>
      </c>
      <c r="IB42" s="90">
        <f t="shared" si="123"/>
        <v>3.45</v>
      </c>
      <c r="IC42" s="90">
        <f t="shared" si="124"/>
        <v>1961.325</v>
      </c>
      <c r="ID42" s="90">
        <f t="shared" si="125"/>
        <v>3.64</v>
      </c>
      <c r="IE42" s="90">
        <f t="shared" si="126"/>
        <v>2069.34</v>
      </c>
      <c r="IF42" s="90">
        <f t="shared" si="127"/>
        <v>3.64</v>
      </c>
      <c r="IG42" s="92">
        <f t="shared" si="128"/>
        <v>24832.080000000002</v>
      </c>
      <c r="IH42" s="90">
        <v>3.91</v>
      </c>
      <c r="II42" s="90">
        <f t="shared" si="129"/>
        <v>4.1100000000000003</v>
      </c>
      <c r="IJ42" s="90">
        <f t="shared" si="130"/>
        <v>2336.54</v>
      </c>
      <c r="IK42" s="90">
        <f t="shared" si="131"/>
        <v>4.1100000000000003</v>
      </c>
      <c r="IL42" s="90">
        <f t="shared" si="132"/>
        <v>2336.54</v>
      </c>
      <c r="IM42" s="90">
        <f t="shared" si="133"/>
        <v>4.1100000000000003</v>
      </c>
      <c r="IN42" s="90">
        <f t="shared" si="134"/>
        <v>2336.54</v>
      </c>
      <c r="IO42" s="90">
        <f t="shared" si="135"/>
        <v>4.1100000000000003</v>
      </c>
      <c r="IP42" s="93">
        <v>0.37052404126999999</v>
      </c>
      <c r="IQ42" s="90">
        <f t="shared" si="136"/>
        <v>168.51433396959601</v>
      </c>
      <c r="IR42" s="90">
        <f t="shared" si="137"/>
        <v>178.62519400777177</v>
      </c>
      <c r="IS42" s="90">
        <v>108693.96</v>
      </c>
      <c r="IT42" s="90">
        <v>3053.33</v>
      </c>
      <c r="IU42" s="94"/>
      <c r="IV42" s="94"/>
      <c r="IW42" s="94">
        <v>1.6976249999999999</v>
      </c>
      <c r="IX42" s="90">
        <f t="shared" si="138"/>
        <v>772.07984999999996</v>
      </c>
      <c r="IY42" s="93">
        <v>0.56339614052999998</v>
      </c>
      <c r="IZ42" s="90">
        <f t="shared" si="139"/>
        <v>320.29070589130498</v>
      </c>
      <c r="JA42" s="90">
        <f t="shared" si="140"/>
        <v>335.66</v>
      </c>
      <c r="JB42" s="90">
        <f t="shared" si="532"/>
        <v>352.27667022930427</v>
      </c>
      <c r="JC42" s="90">
        <f t="shared" si="141"/>
        <v>354.12</v>
      </c>
      <c r="JD42" s="90">
        <f t="shared" si="142"/>
        <v>374.52463596320763</v>
      </c>
      <c r="JE42" s="90">
        <f t="shared" si="143"/>
        <v>374.52463596320763</v>
      </c>
      <c r="JF42" s="93">
        <v>4.2278943710000003E-2</v>
      </c>
      <c r="JG42" s="90">
        <f t="shared" si="144"/>
        <v>19.228463599308</v>
      </c>
      <c r="JH42" s="90">
        <f t="shared" si="145"/>
        <v>20.38217141526648</v>
      </c>
      <c r="JI42" s="20">
        <v>462.98</v>
      </c>
      <c r="JJ42" s="20"/>
      <c r="JK42" s="20">
        <v>6.0624999999999998E-2</v>
      </c>
      <c r="JL42" s="90">
        <f t="shared" si="146"/>
        <v>27.57225</v>
      </c>
      <c r="JM42" s="93">
        <v>6.7347080040000007E-2</v>
      </c>
      <c r="JN42" s="90">
        <f t="shared" si="147"/>
        <v>38.286815002740006</v>
      </c>
      <c r="JO42" s="90">
        <f t="shared" si="148"/>
        <v>40.119999999999997</v>
      </c>
      <c r="JP42" s="90">
        <f t="shared" si="533"/>
        <v>42.106119315973558</v>
      </c>
      <c r="JQ42" s="90">
        <f t="shared" si="149"/>
        <v>42.33</v>
      </c>
      <c r="JR42" s="90">
        <f t="shared" si="150"/>
        <v>44.765323228397449</v>
      </c>
      <c r="JS42" s="90">
        <f t="shared" si="151"/>
        <v>44.765323228397449</v>
      </c>
      <c r="JT42" s="93">
        <v>7.3220517000000002E-3</v>
      </c>
      <c r="JU42" s="90">
        <f t="shared" si="152"/>
        <v>3.33006911316</v>
      </c>
      <c r="JV42" s="90">
        <f t="shared" si="153"/>
        <v>3.49</v>
      </c>
      <c r="JW42" s="90">
        <f t="shared" si="534"/>
        <v>3.662770598523124</v>
      </c>
      <c r="JX42" s="90">
        <f t="shared" si="154"/>
        <v>3.68</v>
      </c>
      <c r="JY42" s="90">
        <f t="shared" si="155"/>
        <v>3.8940921751522213</v>
      </c>
      <c r="JZ42" s="90">
        <f t="shared" si="156"/>
        <v>3.8940921751522213</v>
      </c>
      <c r="KA42" s="90">
        <v>8.3090999999999998E-3</v>
      </c>
      <c r="KB42" s="90">
        <f t="shared" si="157"/>
        <v>3.7789786799999998</v>
      </c>
      <c r="KC42" s="90" t="e">
        <f>KB42*#REF!</f>
        <v>#REF!</v>
      </c>
      <c r="KD42" s="90">
        <v>34406.519999999997</v>
      </c>
      <c r="KE42" s="90">
        <v>40292.97</v>
      </c>
      <c r="KF42" s="90"/>
      <c r="KG42" s="90">
        <f t="shared" si="550"/>
        <v>665.76199641812082</v>
      </c>
      <c r="KH42" s="90" t="e">
        <f>KG42/(BW42+#REF!)*(CB42+#REF!)</f>
        <v>#REF!</v>
      </c>
      <c r="KI42" s="90">
        <v>0.8</v>
      </c>
      <c r="KJ42" s="94"/>
      <c r="KK42" s="90">
        <f t="shared" si="159"/>
        <v>0</v>
      </c>
      <c r="KL42" s="93">
        <v>1.2690177</v>
      </c>
      <c r="KM42" s="90">
        <f t="shared" si="160"/>
        <v>721.43656245</v>
      </c>
      <c r="KN42" s="90">
        <f t="shared" si="161"/>
        <v>764.72275619700008</v>
      </c>
      <c r="KO42" s="90" t="e">
        <f>BW42+CN42+DC42+DS42+EG42+EV42+FK42+GB42+#REF!+#REF!+HJ42+HX42+IQ42+JG42+JU42+KK42+KM42</f>
        <v>#REF!</v>
      </c>
      <c r="KP42" s="90"/>
      <c r="KQ42" s="90">
        <v>0.50815001599999998</v>
      </c>
      <c r="KR42" s="90">
        <f>I42*KQ42</f>
        <v>288.88328409600001</v>
      </c>
      <c r="KS42" s="90">
        <v>0.71072749999999996</v>
      </c>
      <c r="KT42" s="90">
        <f t="shared" si="163"/>
        <v>205.31729429733983</v>
      </c>
      <c r="KU42" s="90">
        <f t="shared" si="164"/>
        <v>310.46059369353412</v>
      </c>
      <c r="KV42" s="90">
        <f t="shared" si="165"/>
        <v>325.36</v>
      </c>
      <c r="KW42" s="90">
        <f t="shared" si="535"/>
        <v>341.4667741935483</v>
      </c>
      <c r="KX42" s="90">
        <f t="shared" si="166"/>
        <v>343.25</v>
      </c>
      <c r="KY42" s="90">
        <f t="shared" si="167"/>
        <v>363.03204301075266</v>
      </c>
      <c r="KZ42" s="90">
        <f t="shared" si="168"/>
        <v>363.03204301075266</v>
      </c>
      <c r="LA42" s="90">
        <f t="shared" si="169"/>
        <v>2228.52</v>
      </c>
      <c r="LB42" s="90">
        <f t="shared" si="170"/>
        <v>3.92</v>
      </c>
      <c r="LC42" s="92">
        <f t="shared" si="171"/>
        <v>26742.239999999998</v>
      </c>
      <c r="LD42" s="92">
        <v>4.21</v>
      </c>
      <c r="LE42" s="92">
        <v>2393.39</v>
      </c>
      <c r="LF42" s="90">
        <f t="shared" si="172"/>
        <v>4.18</v>
      </c>
      <c r="LG42" s="90">
        <f t="shared" si="173"/>
        <v>2376.33</v>
      </c>
      <c r="LH42" s="90">
        <f t="shared" si="174"/>
        <v>2395.6590000000001</v>
      </c>
      <c r="LI42" s="90">
        <f t="shared" si="175"/>
        <v>4.21</v>
      </c>
      <c r="LJ42" s="90">
        <f t="shared" si="176"/>
        <v>2376.33</v>
      </c>
      <c r="LK42" s="90">
        <f t="shared" si="177"/>
        <v>4.18</v>
      </c>
      <c r="LL42" s="90">
        <f t="shared" si="178"/>
        <v>2376.33</v>
      </c>
      <c r="LM42" s="90">
        <f t="shared" si="179"/>
        <v>4.18</v>
      </c>
      <c r="LN42" s="95">
        <v>0.46</v>
      </c>
      <c r="LO42" s="95">
        <f t="shared" si="180"/>
        <v>261.51</v>
      </c>
      <c r="LP42" s="95"/>
      <c r="LQ42" s="95">
        <f t="shared" si="181"/>
        <v>0</v>
      </c>
      <c r="LR42" s="90"/>
      <c r="LS42" s="90"/>
      <c r="LT42" s="90">
        <f t="shared" si="182"/>
        <v>0</v>
      </c>
      <c r="LU42" s="90"/>
      <c r="LV42" s="90">
        <f t="shared" si="183"/>
        <v>0</v>
      </c>
      <c r="LW42" s="90">
        <f t="shared" si="184"/>
        <v>0</v>
      </c>
      <c r="LX42" s="90"/>
      <c r="LY42" s="90"/>
      <c r="LZ42" s="90">
        <f t="shared" si="185"/>
        <v>0</v>
      </c>
      <c r="MA42" s="90"/>
      <c r="MB42" s="90">
        <f t="shared" si="186"/>
        <v>0</v>
      </c>
      <c r="MC42" s="90">
        <f t="shared" si="187"/>
        <v>0</v>
      </c>
      <c r="MD42" s="90"/>
      <c r="ME42" s="90"/>
      <c r="MF42" s="90">
        <f t="shared" si="188"/>
        <v>0</v>
      </c>
      <c r="MG42" s="90"/>
      <c r="MH42" s="90">
        <f t="shared" si="189"/>
        <v>0</v>
      </c>
      <c r="MI42" s="90">
        <f t="shared" si="190"/>
        <v>0</v>
      </c>
      <c r="MJ42" s="90"/>
      <c r="MK42" s="90"/>
      <c r="ML42" s="90">
        <f t="shared" si="191"/>
        <v>0</v>
      </c>
      <c r="MM42" s="90"/>
      <c r="MN42" s="90">
        <f t="shared" si="192"/>
        <v>0</v>
      </c>
      <c r="MO42" s="90">
        <f t="shared" si="193"/>
        <v>0</v>
      </c>
      <c r="MP42" s="90">
        <f t="shared" si="194"/>
        <v>0</v>
      </c>
      <c r="MQ42" s="90">
        <f t="shared" si="195"/>
        <v>0</v>
      </c>
      <c r="MR42" s="90">
        <f t="shared" si="196"/>
        <v>0</v>
      </c>
      <c r="MS42" s="90">
        <f t="shared" si="197"/>
        <v>0</v>
      </c>
      <c r="MT42" s="95"/>
      <c r="MU42" s="95">
        <f t="shared" si="198"/>
        <v>0</v>
      </c>
      <c r="MV42" s="92">
        <f t="shared" si="199"/>
        <v>0</v>
      </c>
      <c r="MW42" s="95"/>
      <c r="MX42" s="95">
        <f t="shared" si="200"/>
        <v>0</v>
      </c>
      <c r="MY42" s="95"/>
      <c r="MZ42" s="95">
        <f t="shared" si="201"/>
        <v>0</v>
      </c>
      <c r="NA42" s="95"/>
      <c r="NB42" s="95">
        <f t="shared" si="202"/>
        <v>0</v>
      </c>
      <c r="NC42" s="92">
        <f t="shared" si="203"/>
        <v>0</v>
      </c>
      <c r="ND42" s="95"/>
      <c r="NE42" s="95">
        <f t="shared" si="204"/>
        <v>0</v>
      </c>
      <c r="NF42" s="95"/>
      <c r="NG42" s="95">
        <f t="shared" si="205"/>
        <v>0</v>
      </c>
      <c r="NH42" s="95"/>
      <c r="NI42" s="95"/>
      <c r="NJ42" s="95">
        <f t="shared" si="206"/>
        <v>0</v>
      </c>
      <c r="NK42" s="92">
        <f t="shared" si="207"/>
        <v>0</v>
      </c>
      <c r="NL42" s="95"/>
      <c r="NM42" s="95">
        <f t="shared" si="208"/>
        <v>0</v>
      </c>
      <c r="NN42" s="95"/>
      <c r="NO42" s="95">
        <f t="shared" si="209"/>
        <v>0</v>
      </c>
      <c r="NP42" s="95"/>
      <c r="NQ42" s="95">
        <f t="shared" si="210"/>
        <v>0</v>
      </c>
      <c r="NR42" s="92">
        <f t="shared" si="211"/>
        <v>0</v>
      </c>
      <c r="NS42" s="95"/>
      <c r="NT42" s="95">
        <f t="shared" si="212"/>
        <v>0</v>
      </c>
      <c r="NU42" s="95"/>
      <c r="NV42" s="95">
        <f t="shared" si="213"/>
        <v>0</v>
      </c>
      <c r="NW42" s="95"/>
      <c r="NX42" s="95">
        <f t="shared" si="214"/>
        <v>0</v>
      </c>
      <c r="NY42" s="92">
        <f t="shared" si="215"/>
        <v>0</v>
      </c>
      <c r="NZ42" s="95"/>
      <c r="OA42" s="95">
        <f t="shared" si="216"/>
        <v>0</v>
      </c>
      <c r="OB42" s="95"/>
      <c r="OC42" s="95">
        <f t="shared" si="217"/>
        <v>0</v>
      </c>
      <c r="OD42" s="90">
        <v>3001.68</v>
      </c>
      <c r="OE42" s="90">
        <f t="shared" si="218"/>
        <v>5.28</v>
      </c>
      <c r="OF42" s="92">
        <f t="shared" si="219"/>
        <v>36020.159999999996</v>
      </c>
      <c r="OG42" s="96">
        <v>780.7</v>
      </c>
      <c r="OH42" s="96">
        <v>1.37</v>
      </c>
      <c r="OI42" s="90">
        <v>4349.03</v>
      </c>
      <c r="OJ42" s="90">
        <f t="shared" si="220"/>
        <v>7.65</v>
      </c>
      <c r="OK42" s="90">
        <f t="shared" si="221"/>
        <v>3782.38</v>
      </c>
      <c r="OL42" s="90">
        <f t="shared" si="222"/>
        <v>6.65</v>
      </c>
      <c r="OM42" s="90">
        <f t="shared" si="223"/>
        <v>1</v>
      </c>
      <c r="ON42" s="90">
        <v>3570.18</v>
      </c>
      <c r="OO42" s="90">
        <f t="shared" si="224"/>
        <v>6.28</v>
      </c>
      <c r="OP42" s="90">
        <v>3568.33</v>
      </c>
      <c r="OQ42" s="90">
        <v>6.28</v>
      </c>
      <c r="OR42" s="90">
        <f t="shared" si="225"/>
        <v>0</v>
      </c>
      <c r="OS42" s="90">
        <f t="shared" si="226"/>
        <v>6.28</v>
      </c>
      <c r="OT42" s="90">
        <v>3570.18</v>
      </c>
      <c r="OU42" s="90">
        <f t="shared" si="227"/>
        <v>6.28</v>
      </c>
      <c r="OV42" s="97">
        <v>3001.68</v>
      </c>
      <c r="OW42" s="90">
        <f t="shared" si="228"/>
        <v>3001.68</v>
      </c>
      <c r="OX42" s="90">
        <f t="shared" si="229"/>
        <v>5.28</v>
      </c>
      <c r="OY42" s="90">
        <f>OU42-1</f>
        <v>5.28</v>
      </c>
      <c r="OZ42" s="90"/>
      <c r="PA42" s="90"/>
      <c r="PB42" s="95">
        <f t="shared" si="230"/>
        <v>0</v>
      </c>
      <c r="PC42" s="92">
        <f t="shared" si="231"/>
        <v>0</v>
      </c>
      <c r="PD42" s="90"/>
      <c r="PE42" s="95">
        <f t="shared" si="232"/>
        <v>0</v>
      </c>
      <c r="PF42" s="90">
        <f t="shared" si="233"/>
        <v>8425.69</v>
      </c>
      <c r="PG42" s="90">
        <f t="shared" si="234"/>
        <v>14.82</v>
      </c>
      <c r="PH42" s="90">
        <f t="shared" si="235"/>
        <v>10358.780000000001</v>
      </c>
      <c r="PI42" s="90">
        <f t="shared" si="236"/>
        <v>18.22</v>
      </c>
      <c r="PJ42" s="90">
        <f t="shared" si="237"/>
        <v>10358.780000000001</v>
      </c>
      <c r="PK42" s="90">
        <f t="shared" si="238"/>
        <v>18.22</v>
      </c>
      <c r="PL42" s="90"/>
      <c r="PM42" s="90">
        <f t="shared" si="239"/>
        <v>252.77</v>
      </c>
      <c r="PN42" s="90">
        <f t="shared" si="240"/>
        <v>0.44</v>
      </c>
      <c r="PO42" s="92">
        <f t="shared" si="241"/>
        <v>3033.2400000000002</v>
      </c>
      <c r="PP42" s="90">
        <f t="shared" si="242"/>
        <v>310.76</v>
      </c>
      <c r="PQ42" s="90">
        <f t="shared" si="243"/>
        <v>0.55000000000000004</v>
      </c>
      <c r="PR42" s="90">
        <f t="shared" si="244"/>
        <v>310.76</v>
      </c>
      <c r="PS42" s="90">
        <f t="shared" si="245"/>
        <v>0.55000000000000004</v>
      </c>
      <c r="PT42" s="90">
        <f t="shared" si="246"/>
        <v>8678.4600000000009</v>
      </c>
      <c r="PU42" s="90">
        <f t="shared" si="247"/>
        <v>15.27</v>
      </c>
      <c r="PV42" s="90">
        <f t="shared" si="248"/>
        <v>10669.54</v>
      </c>
      <c r="PW42" s="90">
        <f t="shared" si="249"/>
        <v>18.77</v>
      </c>
      <c r="PX42" s="90">
        <f t="shared" si="250"/>
        <v>10669.54</v>
      </c>
      <c r="PY42" s="90">
        <f t="shared" si="251"/>
        <v>18.77</v>
      </c>
      <c r="PZ42" s="90">
        <f t="shared" si="252"/>
        <v>87.66</v>
      </c>
      <c r="QA42" s="90">
        <f t="shared" si="253"/>
        <v>0.15</v>
      </c>
      <c r="QB42" s="92">
        <f t="shared" si="254"/>
        <v>1051.92</v>
      </c>
      <c r="QC42" s="90">
        <f t="shared" si="255"/>
        <v>107.77</v>
      </c>
      <c r="QD42" s="90">
        <f t="shared" si="256"/>
        <v>0.19</v>
      </c>
      <c r="QE42" s="90">
        <f t="shared" si="257"/>
        <v>107.77</v>
      </c>
      <c r="QF42" s="90">
        <f t="shared" si="258"/>
        <v>0.19</v>
      </c>
      <c r="QG42" s="90">
        <f t="shared" si="259"/>
        <v>8766.1200000000008</v>
      </c>
      <c r="QH42" s="90">
        <f t="shared" si="260"/>
        <v>15.42</v>
      </c>
      <c r="QI42" s="92">
        <f t="shared" si="261"/>
        <v>105193.44</v>
      </c>
      <c r="QJ42" s="90">
        <f t="shared" si="262"/>
        <v>356.88677419354832</v>
      </c>
      <c r="QK42" s="98">
        <f t="shared" si="263"/>
        <v>0.21869999999999998</v>
      </c>
      <c r="QL42" s="90">
        <f t="shared" si="264"/>
        <v>124.33094999999999</v>
      </c>
      <c r="QM42" s="90">
        <f t="shared" si="265"/>
        <v>0.14579999999999999</v>
      </c>
      <c r="QN42" s="90">
        <f t="shared" si="266"/>
        <v>82.887299999999996</v>
      </c>
      <c r="QO42" s="90">
        <v>0.21869999999999998</v>
      </c>
      <c r="QP42" s="90">
        <v>0.14579999999999999</v>
      </c>
      <c r="QQ42" s="97">
        <f t="shared" si="267"/>
        <v>207.21824999999998</v>
      </c>
      <c r="QR42" s="97">
        <v>206.96309999999997</v>
      </c>
      <c r="QS42" s="97">
        <f t="shared" si="268"/>
        <v>0.25515000000001464</v>
      </c>
      <c r="QT42" s="90"/>
      <c r="QU42" s="90">
        <f t="shared" si="269"/>
        <v>0.14579999999999999</v>
      </c>
      <c r="QV42" s="90">
        <f t="shared" si="270"/>
        <v>82.887299999999996</v>
      </c>
      <c r="QW42" s="90">
        <f t="shared" si="271"/>
        <v>207.21824999999998</v>
      </c>
      <c r="QX42" s="90">
        <f t="shared" si="272"/>
        <v>0.36449999999999999</v>
      </c>
      <c r="QY42" s="90"/>
      <c r="QZ42" s="90"/>
      <c r="RA42" s="90"/>
      <c r="RB42" s="90">
        <v>2113.16</v>
      </c>
      <c r="RC42" s="97">
        <f t="shared" si="273"/>
        <v>8766.1200000000008</v>
      </c>
      <c r="RD42" s="97">
        <f t="shared" si="274"/>
        <v>15.42</v>
      </c>
      <c r="RE42" s="90">
        <f t="shared" si="275"/>
        <v>10777.310000000001</v>
      </c>
      <c r="RF42" s="90">
        <f t="shared" si="276"/>
        <v>18.96</v>
      </c>
      <c r="RG42" s="90">
        <f t="shared" si="277"/>
        <v>123.03698896820248</v>
      </c>
      <c r="RH42" s="90">
        <f t="shared" si="278"/>
        <v>10777.310000000001</v>
      </c>
      <c r="RI42" s="90">
        <f t="shared" si="279"/>
        <v>18.96</v>
      </c>
      <c r="RJ42" s="90">
        <v>18.66</v>
      </c>
      <c r="RK42" s="90">
        <v>0</v>
      </c>
      <c r="RL42" s="90">
        <f t="shared" si="280"/>
        <v>0.30000000000000071</v>
      </c>
      <c r="RM42" s="90">
        <f t="shared" si="281"/>
        <v>105.62674094707522</v>
      </c>
      <c r="RN42" s="90">
        <f t="shared" si="282"/>
        <v>5738.66</v>
      </c>
      <c r="RO42" s="90"/>
      <c r="RP42" s="90"/>
      <c r="RQ42" s="99">
        <v>559</v>
      </c>
      <c r="RR42" s="90">
        <f t="shared" si="283"/>
        <v>5764.4400000000005</v>
      </c>
      <c r="RS42" s="90">
        <f t="shared" si="284"/>
        <v>10.139736147757256</v>
      </c>
      <c r="RT42" s="90">
        <f>11.28+3.3</f>
        <v>14.579999999999998</v>
      </c>
      <c r="RU42" s="90">
        <f t="shared" si="285"/>
        <v>8288.73</v>
      </c>
      <c r="RV42" s="90">
        <f t="shared" si="286"/>
        <v>0.62776917184441217</v>
      </c>
      <c r="RW42" s="90">
        <v>10.43</v>
      </c>
      <c r="RX42" s="90">
        <f t="shared" si="287"/>
        <v>10.951499999999999</v>
      </c>
      <c r="RY42" s="90">
        <f t="shared" si="288"/>
        <v>6225.9277499999998</v>
      </c>
      <c r="RZ42" s="90">
        <f t="shared" si="289"/>
        <v>1642.5314676725591</v>
      </c>
      <c r="SA42" s="90">
        <f t="shared" si="290"/>
        <v>734.86387766535415</v>
      </c>
      <c r="SB42" s="90">
        <f t="shared" si="291"/>
        <v>1111.1887896472949</v>
      </c>
      <c r="SC42" s="90">
        <f t="shared" si="292"/>
        <v>2018.8563796544995</v>
      </c>
      <c r="SD42" s="90">
        <f t="shared" si="293"/>
        <v>2018.8563796545</v>
      </c>
      <c r="SE42" s="90">
        <f t="shared" si="294"/>
        <v>2049.2681182996971</v>
      </c>
      <c r="SF42" s="90">
        <f t="shared" si="295"/>
        <v>2018.5464035749783</v>
      </c>
      <c r="SG42" s="90">
        <f t="shared" si="296"/>
        <v>0.30997607952122053</v>
      </c>
      <c r="SH42" s="90">
        <f t="shared" si="297"/>
        <v>2018.6619227749782</v>
      </c>
      <c r="SI42" s="90">
        <f t="shared" si="298"/>
        <v>3.5511985569999998</v>
      </c>
      <c r="SJ42" s="90">
        <f t="shared" si="299"/>
        <v>3.5506533044414748</v>
      </c>
      <c r="SK42" s="90"/>
      <c r="SL42" s="90"/>
      <c r="SM42" s="90"/>
      <c r="SN42" s="90">
        <f t="shared" si="300"/>
        <v>2161.39</v>
      </c>
      <c r="SO42" s="90" t="e">
        <f>RU42-#REF!-#REF!-HZ42-LT42-LZ42-MF42-ML42-QL42-QN42-SD42</f>
        <v>#REF!</v>
      </c>
      <c r="SP42" s="90">
        <f t="shared" si="301"/>
        <v>2115.7600000000002</v>
      </c>
      <c r="SQ42" s="90">
        <f t="shared" si="302"/>
        <v>2228.52</v>
      </c>
      <c r="SR42" s="90">
        <f t="shared" si="303"/>
        <v>3.7216534740545297</v>
      </c>
      <c r="SS42" s="90">
        <f t="shared" si="304"/>
        <v>3.92</v>
      </c>
      <c r="ST42" s="90">
        <f t="shared" si="305"/>
        <v>2236.9949999999999</v>
      </c>
      <c r="SU42" s="90">
        <v>3.7216625572384645</v>
      </c>
      <c r="SV42" s="90">
        <f t="shared" si="306"/>
        <v>3.93</v>
      </c>
      <c r="SW42" s="90">
        <v>3.92</v>
      </c>
      <c r="SX42" s="90">
        <f t="shared" si="307"/>
        <v>2228.52</v>
      </c>
      <c r="SY42" s="90">
        <v>3.7216625572384645</v>
      </c>
      <c r="SZ42" s="90">
        <f t="shared" si="308"/>
        <v>2115.7651637900672</v>
      </c>
      <c r="TA42" s="90">
        <f t="shared" si="309"/>
        <v>5.1637900669447845E-3</v>
      </c>
      <c r="TB42" s="90">
        <v>0</v>
      </c>
      <c r="TC42" s="90">
        <f t="shared" si="310"/>
        <v>3079.8767499999994</v>
      </c>
      <c r="TD42" s="90" t="e">
        <f>#REF!+#REF!</f>
        <v>#REF!</v>
      </c>
      <c r="TE42" s="90" t="e">
        <f t="shared" si="311"/>
        <v>#REF!</v>
      </c>
      <c r="TF42" s="90">
        <v>3022.5942333333314</v>
      </c>
      <c r="TG42" s="90">
        <f t="shared" si="312"/>
        <v>37.157402279963271</v>
      </c>
      <c r="TH42" s="95"/>
      <c r="TI42" s="95"/>
      <c r="TJ42" s="95"/>
      <c r="TK42" s="95"/>
      <c r="TL42" s="95"/>
      <c r="TM42" s="95">
        <f t="shared" si="313"/>
        <v>0</v>
      </c>
      <c r="TN42" s="95">
        <f t="shared" si="314"/>
        <v>8288.73</v>
      </c>
      <c r="TO42" s="95">
        <f t="shared" si="315"/>
        <v>37.157402279963271</v>
      </c>
      <c r="TP42" s="95"/>
      <c r="TQ42" s="95">
        <f t="shared" si="316"/>
        <v>14.579999999999998</v>
      </c>
      <c r="TR42" s="95"/>
      <c r="TS42" s="95"/>
      <c r="TT42" s="95"/>
      <c r="TU42" s="95"/>
      <c r="TV42" s="95"/>
      <c r="TW42" s="95"/>
      <c r="TX42" s="95"/>
      <c r="TY42" s="95"/>
      <c r="TZ42" s="95">
        <f t="shared" si="317"/>
        <v>2.5</v>
      </c>
      <c r="UA42" s="95">
        <f t="shared" si="318"/>
        <v>0.64151999999999998</v>
      </c>
      <c r="UB42" s="90">
        <v>0</v>
      </c>
      <c r="UC42" s="90">
        <f t="shared" si="319"/>
        <v>0</v>
      </c>
      <c r="UD42" s="90">
        <f t="shared" si="320"/>
        <v>0</v>
      </c>
      <c r="UE42" s="90">
        <f t="shared" si="321"/>
        <v>0</v>
      </c>
      <c r="UF42" s="90">
        <f t="shared" si="322"/>
        <v>8288.73</v>
      </c>
      <c r="UG42" s="91">
        <f t="shared" si="323"/>
        <v>0</v>
      </c>
      <c r="UH42" s="95">
        <f t="shared" si="324"/>
        <v>37.157402279963271</v>
      </c>
      <c r="UI42" s="95">
        <f t="shared" si="325"/>
        <v>8288.73</v>
      </c>
      <c r="UJ42" s="101">
        <f t="shared" si="326"/>
        <v>0</v>
      </c>
      <c r="UK42" s="101">
        <f t="shared" si="327"/>
        <v>37.157402279963271</v>
      </c>
      <c r="UL42" s="90" t="e">
        <f>(#REF!+#REF!+HZ42+LT42+LZ42+MF42+ML42+QL42+QN42+SN42+TC42+TM42+UC42)/I42</f>
        <v>#REF!</v>
      </c>
      <c r="UN42" s="90" t="e">
        <f>#REF!/I42</f>
        <v>#REF!</v>
      </c>
      <c r="UO42" s="90" t="e">
        <f>#REF!/I42</f>
        <v>#REF!</v>
      </c>
      <c r="UP42" s="90">
        <v>1.1499999999999999</v>
      </c>
      <c r="UQ42" s="90" t="e">
        <f t="shared" si="328"/>
        <v>#REF!</v>
      </c>
      <c r="UR42" s="90">
        <f t="shared" si="329"/>
        <v>5764.4400000000005</v>
      </c>
      <c r="US42" s="90">
        <f t="shared" si="330"/>
        <v>7324.1200000000008</v>
      </c>
      <c r="UT42" s="90">
        <f t="shared" si="331"/>
        <v>7324.1200000000008</v>
      </c>
      <c r="UU42" s="90">
        <f t="shared" si="516"/>
        <v>7585.630000000001</v>
      </c>
      <c r="UV42" s="90">
        <f t="shared" si="333"/>
        <v>7514.1200000000008</v>
      </c>
      <c r="UW42" s="90">
        <f t="shared" si="334"/>
        <v>5.9</v>
      </c>
      <c r="UX42" s="90">
        <f t="shared" si="335"/>
        <v>3.92</v>
      </c>
      <c r="UY42" s="90">
        <f t="shared" si="336"/>
        <v>3.8019173262972732</v>
      </c>
      <c r="UZ42" s="100">
        <f t="shared" si="337"/>
        <v>3.5511985569999998</v>
      </c>
      <c r="VA42" s="90">
        <f t="shared" si="338"/>
        <v>0.61</v>
      </c>
      <c r="VB42" s="90">
        <f t="shared" si="339"/>
        <v>1.37</v>
      </c>
      <c r="VC42" s="90">
        <f t="shared" si="340"/>
        <v>0</v>
      </c>
      <c r="VD42" s="90">
        <f t="shared" si="341"/>
        <v>0</v>
      </c>
      <c r="VE42" s="90">
        <f t="shared" si="342"/>
        <v>0</v>
      </c>
      <c r="VF42" s="90">
        <f t="shared" si="343"/>
        <v>0</v>
      </c>
      <c r="VG42" s="90">
        <f t="shared" si="344"/>
        <v>0</v>
      </c>
      <c r="VH42" s="90">
        <f t="shared" si="345"/>
        <v>0</v>
      </c>
      <c r="VI42" s="90">
        <f t="shared" si="346"/>
        <v>0</v>
      </c>
      <c r="VJ42" s="90">
        <f t="shared" si="347"/>
        <v>0</v>
      </c>
      <c r="VK42" s="90">
        <f t="shared" si="348"/>
        <v>0.91</v>
      </c>
      <c r="VL42" s="90">
        <f t="shared" si="349"/>
        <v>3.64</v>
      </c>
      <c r="VM42" s="90">
        <f t="shared" si="350"/>
        <v>5.28</v>
      </c>
      <c r="VN42" s="90">
        <f t="shared" si="351"/>
        <v>0</v>
      </c>
      <c r="VO42" s="90">
        <f t="shared" si="352"/>
        <v>5.28</v>
      </c>
      <c r="VP42" s="97">
        <v>0</v>
      </c>
      <c r="VQ42" s="97">
        <v>5.28</v>
      </c>
      <c r="VR42" s="90">
        <f t="shared" si="353"/>
        <v>0.44</v>
      </c>
      <c r="VS42" s="90">
        <f t="shared" si="354"/>
        <v>0.15</v>
      </c>
      <c r="VT42" s="90">
        <v>0.11989898989898991</v>
      </c>
      <c r="VU42" s="90">
        <f t="shared" si="355"/>
        <v>0.15410000000000001</v>
      </c>
      <c r="VV42" s="90">
        <v>0.38175323599898991</v>
      </c>
      <c r="VW42" s="90">
        <f t="shared" si="356"/>
        <v>0.59</v>
      </c>
      <c r="VX42" s="90">
        <f t="shared" si="357"/>
        <v>15.41</v>
      </c>
      <c r="VY42" s="90">
        <f t="shared" si="358"/>
        <v>15.41</v>
      </c>
      <c r="VZ42" s="90">
        <f t="shared" si="359"/>
        <v>0</v>
      </c>
      <c r="WA42" s="90"/>
      <c r="WB42" s="90">
        <f t="shared" si="360"/>
        <v>15.41</v>
      </c>
      <c r="WC42" s="90">
        <f t="shared" si="361"/>
        <v>0</v>
      </c>
      <c r="WD42" s="90"/>
      <c r="WE42" s="90">
        <v>15.41</v>
      </c>
      <c r="WF42" s="90"/>
      <c r="WG42" s="90">
        <f t="shared" si="362"/>
        <v>8760.5850000000009</v>
      </c>
      <c r="WH42" s="90">
        <f t="shared" si="363"/>
        <v>8760.5850000000009</v>
      </c>
      <c r="WI42" s="90">
        <f t="shared" si="364"/>
        <v>8766.1200000000008</v>
      </c>
      <c r="WJ42" s="90">
        <f t="shared" si="365"/>
        <v>5764.4400000000005</v>
      </c>
      <c r="WK42" s="97">
        <v>2997.98</v>
      </c>
      <c r="WL42" s="97">
        <v>5.28</v>
      </c>
      <c r="WM42" s="90">
        <f t="shared" si="366"/>
        <v>3001.68</v>
      </c>
      <c r="WN42" s="90">
        <f t="shared" si="367"/>
        <v>5.28</v>
      </c>
      <c r="WO42" s="90"/>
      <c r="WP42" s="97">
        <v>15.41</v>
      </c>
      <c r="WQ42" s="90">
        <f t="shared" si="368"/>
        <v>15.41</v>
      </c>
      <c r="WR42" s="91">
        <f t="shared" si="369"/>
        <v>105.69272976680386</v>
      </c>
      <c r="WS42" s="91">
        <f t="shared" si="370"/>
        <v>136.61347517730499</v>
      </c>
      <c r="WT42" s="90">
        <f t="shared" si="371"/>
        <v>8760.59</v>
      </c>
      <c r="WU42" s="90">
        <f t="shared" si="372"/>
        <v>8766.1200000000008</v>
      </c>
      <c r="WV42" s="90">
        <f t="shared" si="373"/>
        <v>-5.5300000000006548</v>
      </c>
      <c r="WW42" s="90">
        <v>3.3</v>
      </c>
      <c r="WX42" s="90"/>
      <c r="WY42" s="90"/>
      <c r="WZ42" s="90">
        <f t="shared" si="374"/>
        <v>5.2520434343434355</v>
      </c>
      <c r="XA42" s="90">
        <v>0</v>
      </c>
      <c r="XB42" s="90">
        <f t="shared" si="375"/>
        <v>5.2520434343434355</v>
      </c>
      <c r="XC42" s="90">
        <f t="shared" si="376"/>
        <v>0.46229999999999999</v>
      </c>
      <c r="XD42" s="90">
        <f t="shared" si="377"/>
        <v>0.15565656565656566</v>
      </c>
      <c r="XE42" s="90"/>
      <c r="XF42" s="90">
        <f t="shared" si="378"/>
        <v>15.41</v>
      </c>
      <c r="XG42" s="90">
        <v>5.3233431372548994</v>
      </c>
      <c r="XH42" s="20">
        <v>14.579999999999998</v>
      </c>
      <c r="XI42" s="20">
        <v>0</v>
      </c>
      <c r="XJ42" s="20"/>
      <c r="XK42" s="20"/>
      <c r="XL42" s="20"/>
      <c r="XM42" s="20">
        <f t="shared" si="379"/>
        <v>14.579999999999998</v>
      </c>
      <c r="XN42" s="91">
        <f t="shared" si="380"/>
        <v>105.69272976680386</v>
      </c>
      <c r="XO42" s="20">
        <f t="shared" si="381"/>
        <v>14.579999999999998</v>
      </c>
      <c r="XP42" s="90">
        <f t="shared" si="382"/>
        <v>11.279999999999998</v>
      </c>
      <c r="XQ42" s="91">
        <f t="shared" si="383"/>
        <v>105.69272976680386</v>
      </c>
      <c r="XR42" s="102"/>
      <c r="XS42" s="90">
        <f t="shared" si="384"/>
        <v>3.64</v>
      </c>
      <c r="XT42" s="90">
        <f t="shared" si="385"/>
        <v>5.9</v>
      </c>
      <c r="XU42" s="90">
        <f t="shared" si="386"/>
        <v>3.92</v>
      </c>
      <c r="XV42" s="90">
        <f t="shared" si="387"/>
        <v>0.61</v>
      </c>
      <c r="XW42" s="90">
        <f t="shared" si="388"/>
        <v>0.61</v>
      </c>
      <c r="XX42" s="90">
        <f t="shared" si="389"/>
        <v>0</v>
      </c>
      <c r="XY42" s="90">
        <f t="shared" si="390"/>
        <v>1.37</v>
      </c>
      <c r="XZ42" s="90">
        <f t="shared" si="391"/>
        <v>0</v>
      </c>
      <c r="YA42" s="90">
        <f t="shared" si="392"/>
        <v>0</v>
      </c>
      <c r="YB42" s="90">
        <f t="shared" si="552"/>
        <v>0</v>
      </c>
      <c r="YC42" s="90">
        <f t="shared" si="552"/>
        <v>0</v>
      </c>
      <c r="YD42" s="90">
        <f t="shared" si="394"/>
        <v>1.37</v>
      </c>
      <c r="YE42" s="90">
        <f t="shared" si="395"/>
        <v>5.28</v>
      </c>
      <c r="YF42" s="90">
        <f t="shared" si="396"/>
        <v>0.59</v>
      </c>
      <c r="YG42" s="90">
        <f t="shared" si="397"/>
        <v>15.41</v>
      </c>
      <c r="YI42" s="103" t="s">
        <v>527</v>
      </c>
      <c r="YK42" s="90">
        <f t="shared" si="398"/>
        <v>1.07</v>
      </c>
      <c r="YL42" s="90">
        <f t="shared" si="553"/>
        <v>0.61</v>
      </c>
      <c r="YM42" s="90">
        <f t="shared" si="553"/>
        <v>1.37</v>
      </c>
      <c r="YN42" s="90">
        <f t="shared" si="400"/>
        <v>3.64</v>
      </c>
      <c r="YO42" s="90">
        <f t="shared" si="401"/>
        <v>8.7199999999999989</v>
      </c>
      <c r="YP42" s="90">
        <f t="shared" si="402"/>
        <v>0</v>
      </c>
      <c r="YQ42" s="90">
        <f t="shared" si="403"/>
        <v>15.41</v>
      </c>
      <c r="YR42" s="90">
        <f t="shared" si="404"/>
        <v>0</v>
      </c>
      <c r="YS42" s="104">
        <f t="shared" si="405"/>
        <v>15.41</v>
      </c>
      <c r="YT42" s="104">
        <f t="shared" si="406"/>
        <v>0</v>
      </c>
      <c r="YY42" s="90">
        <f t="shared" si="407"/>
        <v>8.0399999999999991</v>
      </c>
      <c r="YZ42" s="90">
        <f t="shared" si="408"/>
        <v>4.18</v>
      </c>
      <c r="ZA42" s="90">
        <f t="shared" si="409"/>
        <v>0.65</v>
      </c>
      <c r="ZB42" s="90">
        <f t="shared" si="410"/>
        <v>3.21</v>
      </c>
      <c r="ZC42" s="90">
        <f t="shared" si="411"/>
        <v>0</v>
      </c>
      <c r="ZD42" s="90">
        <f t="shared" si="412"/>
        <v>0</v>
      </c>
      <c r="ZE42" s="90">
        <f t="shared" si="413"/>
        <v>0</v>
      </c>
      <c r="ZF42" s="90">
        <f t="shared" si="414"/>
        <v>0</v>
      </c>
      <c r="ZG42" s="90">
        <f t="shared" si="415"/>
        <v>0</v>
      </c>
      <c r="ZH42" s="90">
        <f t="shared" si="416"/>
        <v>0</v>
      </c>
      <c r="ZI42" s="90">
        <f t="shared" si="417"/>
        <v>0</v>
      </c>
      <c r="ZJ42" s="90">
        <f t="shared" si="418"/>
        <v>0</v>
      </c>
      <c r="ZK42" s="90">
        <f t="shared" si="419"/>
        <v>0</v>
      </c>
      <c r="ZL42" s="90">
        <f t="shared" si="420"/>
        <v>0.02</v>
      </c>
      <c r="ZM42" s="90">
        <f t="shared" si="421"/>
        <v>4.1100000000000003</v>
      </c>
      <c r="ZN42" s="90">
        <f t="shared" si="422"/>
        <v>8.49</v>
      </c>
      <c r="ZO42" s="90">
        <f t="shared" si="423"/>
        <v>6.65</v>
      </c>
      <c r="ZP42" s="90">
        <f t="shared" si="424"/>
        <v>5.28</v>
      </c>
      <c r="ZQ42" s="90">
        <f t="shared" si="425"/>
        <v>0</v>
      </c>
      <c r="ZR42" s="90">
        <f t="shared" si="426"/>
        <v>5.28</v>
      </c>
      <c r="ZS42" s="97">
        <v>227</v>
      </c>
      <c r="ZT42" s="97">
        <v>230.38</v>
      </c>
      <c r="ZU42" s="90">
        <f t="shared" si="427"/>
        <v>0.55000000000000004</v>
      </c>
      <c r="ZV42" s="90">
        <f t="shared" si="428"/>
        <v>0.19</v>
      </c>
      <c r="ZW42" s="90">
        <v>0.11989898989898991</v>
      </c>
      <c r="ZX42" s="90">
        <f t="shared" si="429"/>
        <v>0.18169999999999997</v>
      </c>
      <c r="ZY42" s="90">
        <v>0.38175323599898991</v>
      </c>
      <c r="ZZ42" s="90">
        <f t="shared" si="430"/>
        <v>0.74</v>
      </c>
      <c r="AAA42" s="90">
        <f t="shared" si="431"/>
        <v>18.169999999999998</v>
      </c>
      <c r="AAB42" s="90">
        <f t="shared" si="432"/>
        <v>18.169999999999998</v>
      </c>
      <c r="AAC42" s="90">
        <f t="shared" si="433"/>
        <v>0</v>
      </c>
      <c r="AAD42" s="90"/>
      <c r="AAE42" s="90">
        <f t="shared" si="434"/>
        <v>18.169999999999998</v>
      </c>
      <c r="AAF42" s="90">
        <v>15.41</v>
      </c>
      <c r="AAG42" s="90">
        <f t="shared" si="435"/>
        <v>117.91044776119402</v>
      </c>
      <c r="AAH42" s="90">
        <f t="shared" si="436"/>
        <v>0</v>
      </c>
      <c r="AAI42" s="90">
        <v>0</v>
      </c>
      <c r="AAJ42" s="90"/>
      <c r="AAK42" s="1">
        <v>17.95</v>
      </c>
      <c r="AAL42" s="104">
        <f t="shared" si="437"/>
        <v>0.21999999999999886</v>
      </c>
      <c r="AAM42" s="103" t="s">
        <v>454</v>
      </c>
      <c r="AAN42" s="105">
        <v>8.06</v>
      </c>
      <c r="AAO42" s="90">
        <f t="shared" si="438"/>
        <v>8.8300000000000018</v>
      </c>
      <c r="AAP42" s="90">
        <v>4.21</v>
      </c>
      <c r="AAQ42" s="90">
        <f t="shared" si="439"/>
        <v>4.18</v>
      </c>
      <c r="AAR42" s="90">
        <v>0.65</v>
      </c>
      <c r="AAS42" s="90">
        <f t="shared" si="440"/>
        <v>0.98</v>
      </c>
      <c r="AAT42" s="90">
        <f t="shared" si="441"/>
        <v>150.76923076923077</v>
      </c>
      <c r="AAU42" s="90">
        <v>3.2</v>
      </c>
      <c r="AAV42" s="90">
        <f t="shared" si="442"/>
        <v>3.21</v>
      </c>
      <c r="AAW42" s="90">
        <f t="shared" si="443"/>
        <v>100.31249999999999</v>
      </c>
      <c r="AAX42" s="90">
        <f t="shared" si="444"/>
        <v>0.46</v>
      </c>
      <c r="AAY42" s="90">
        <f t="shared" si="445"/>
        <v>0</v>
      </c>
      <c r="AAZ42" s="90">
        <f t="shared" si="446"/>
        <v>0</v>
      </c>
      <c r="ABA42" s="90">
        <f t="shared" si="447"/>
        <v>0</v>
      </c>
      <c r="ABB42" s="90">
        <f t="shared" si="448"/>
        <v>0</v>
      </c>
      <c r="ABC42" s="90">
        <v>0</v>
      </c>
      <c r="ABD42" s="90">
        <f t="shared" si="449"/>
        <v>0</v>
      </c>
      <c r="ABE42" s="90"/>
      <c r="ABF42" s="90">
        <v>0</v>
      </c>
      <c r="ABG42" s="90">
        <f t="shared" si="450"/>
        <v>0</v>
      </c>
      <c r="ABH42" s="90"/>
      <c r="ABI42" s="90">
        <f t="shared" si="451"/>
        <v>0</v>
      </c>
      <c r="ABJ42" s="90">
        <f t="shared" si="452"/>
        <v>0</v>
      </c>
      <c r="ABK42" s="90">
        <v>0</v>
      </c>
      <c r="ABL42" s="90">
        <f t="shared" si="453"/>
        <v>0</v>
      </c>
      <c r="ABM42" s="90">
        <f t="shared" si="454"/>
        <v>0</v>
      </c>
      <c r="ABN42" s="90">
        <f t="shared" si="455"/>
        <v>0.02</v>
      </c>
      <c r="ABO42" s="90">
        <v>3.91</v>
      </c>
      <c r="ABP42" s="90">
        <f t="shared" si="456"/>
        <v>4.1100000000000003</v>
      </c>
      <c r="ABQ42" s="90">
        <f t="shared" si="457"/>
        <v>105.1150895140665</v>
      </c>
      <c r="ABR42" s="90">
        <f t="shared" si="458"/>
        <v>8.49</v>
      </c>
      <c r="ABS42" s="90">
        <f t="shared" si="459"/>
        <v>6.65</v>
      </c>
      <c r="ABT42" s="90">
        <v>5.28</v>
      </c>
      <c r="ABU42" s="90">
        <f t="shared" si="460"/>
        <v>5.28</v>
      </c>
      <c r="ABV42" s="90">
        <f t="shared" si="461"/>
        <v>100</v>
      </c>
      <c r="ABW42" s="90">
        <f t="shared" si="462"/>
        <v>0</v>
      </c>
      <c r="ABX42" s="90">
        <f t="shared" si="463"/>
        <v>5.28</v>
      </c>
      <c r="ABY42" s="97">
        <v>227</v>
      </c>
      <c r="ABZ42" s="97">
        <v>230.38</v>
      </c>
      <c r="ACA42" s="90">
        <f t="shared" si="464"/>
        <v>0.55000000000000004</v>
      </c>
      <c r="ACB42" s="90">
        <f t="shared" si="465"/>
        <v>0.19</v>
      </c>
      <c r="ACC42" s="90">
        <v>0.11989898989898991</v>
      </c>
      <c r="ACD42" s="90">
        <f t="shared" si="466"/>
        <v>0.185</v>
      </c>
      <c r="ACE42" s="90">
        <v>0.38175323599898991</v>
      </c>
      <c r="ACF42" s="90">
        <v>0.7</v>
      </c>
      <c r="ACG42" s="90">
        <f t="shared" si="467"/>
        <v>0.74</v>
      </c>
      <c r="ACH42" s="90">
        <f t="shared" si="468"/>
        <v>105.71428571428572</v>
      </c>
      <c r="ACI42" s="90">
        <f t="shared" si="469"/>
        <v>18.96</v>
      </c>
      <c r="ACJ42" s="90">
        <f t="shared" si="470"/>
        <v>18.5</v>
      </c>
      <c r="ACK42" s="90">
        <f t="shared" si="471"/>
        <v>-0.46000000000000085</v>
      </c>
      <c r="ACL42" s="90"/>
      <c r="ACM42" s="90">
        <f t="shared" si="472"/>
        <v>18.96</v>
      </c>
      <c r="ACN42" s="90">
        <f t="shared" si="473"/>
        <v>0</v>
      </c>
      <c r="ACO42" s="90">
        <f t="shared" si="474"/>
        <v>18.96</v>
      </c>
      <c r="ACP42" s="90">
        <v>17.95</v>
      </c>
      <c r="ACQ42" s="90">
        <f t="shared" si="475"/>
        <v>105.62674094707522</v>
      </c>
      <c r="ACR42" s="90">
        <f t="shared" si="476"/>
        <v>0</v>
      </c>
      <c r="ACS42" s="90">
        <v>0</v>
      </c>
      <c r="ACT42" s="90"/>
      <c r="ACU42" s="90">
        <f t="shared" si="477"/>
        <v>18.865449999999999</v>
      </c>
      <c r="ACV42" s="90">
        <f t="shared" si="478"/>
        <v>-9.4550000000001688E-2</v>
      </c>
      <c r="ACX42" s="106" t="s">
        <v>454</v>
      </c>
      <c r="ACY42" s="107"/>
      <c r="ACZ42" s="107">
        <v>140000</v>
      </c>
      <c r="ADB42" s="90">
        <f t="shared" si="479"/>
        <v>4.1100000000000003</v>
      </c>
      <c r="ADC42" s="90">
        <f t="shared" si="480"/>
        <v>8.8299999999999983</v>
      </c>
      <c r="ADD42" s="90">
        <f t="shared" si="481"/>
        <v>4.18</v>
      </c>
      <c r="ADE42" s="90">
        <f t="shared" si="517"/>
        <v>1.44</v>
      </c>
      <c r="ADF42" s="90">
        <f t="shared" si="483"/>
        <v>0.98</v>
      </c>
      <c r="ADG42" s="90">
        <f t="shared" si="554"/>
        <v>0.46</v>
      </c>
      <c r="ADH42" s="90">
        <f t="shared" si="554"/>
        <v>0</v>
      </c>
      <c r="ADI42" s="90">
        <f t="shared" si="554"/>
        <v>0</v>
      </c>
      <c r="ADJ42" s="90">
        <f t="shared" si="485"/>
        <v>3.21</v>
      </c>
      <c r="ADK42" s="90">
        <f t="shared" si="486"/>
        <v>0</v>
      </c>
      <c r="ADL42" s="90">
        <f t="shared" si="487"/>
        <v>0</v>
      </c>
      <c r="ADM42" s="90">
        <f t="shared" si="555"/>
        <v>0</v>
      </c>
      <c r="ADN42" s="90">
        <f t="shared" si="555"/>
        <v>0</v>
      </c>
      <c r="ADO42" s="90">
        <f t="shared" si="489"/>
        <v>3.21</v>
      </c>
      <c r="ADP42" s="90">
        <f t="shared" si="490"/>
        <v>5.28</v>
      </c>
      <c r="ADQ42" s="90">
        <f t="shared" si="491"/>
        <v>0.74</v>
      </c>
      <c r="ADR42" s="90">
        <f t="shared" si="492"/>
        <v>18.959999999999997</v>
      </c>
      <c r="ADU42" s="90">
        <f t="shared" si="493"/>
        <v>1.1499999999999999</v>
      </c>
      <c r="ADV42" s="90">
        <f t="shared" si="494"/>
        <v>0.98</v>
      </c>
      <c r="ADW42" s="90">
        <f t="shared" si="495"/>
        <v>3.21</v>
      </c>
      <c r="ADX42" s="90">
        <f t="shared" si="496"/>
        <v>4.1100000000000003</v>
      </c>
      <c r="ADY42" s="90">
        <f t="shared" si="497"/>
        <v>9.0500000000000007</v>
      </c>
      <c r="ADZ42" s="90">
        <f t="shared" si="498"/>
        <v>0</v>
      </c>
      <c r="AEA42" s="90">
        <f t="shared" si="499"/>
        <v>18.96</v>
      </c>
      <c r="AEB42" s="90">
        <f t="shared" si="500"/>
        <v>0</v>
      </c>
      <c r="AEC42" s="104">
        <f t="shared" si="501"/>
        <v>18.5</v>
      </c>
      <c r="AED42" s="104">
        <f t="shared" si="502"/>
        <v>0.46000000000000085</v>
      </c>
      <c r="AEG42" s="1">
        <v>8.06</v>
      </c>
      <c r="AEH42" s="1">
        <v>4.21</v>
      </c>
      <c r="AEI42" s="1">
        <v>0.65</v>
      </c>
      <c r="AEJ42" s="1">
        <v>3.2</v>
      </c>
      <c r="AEK42" s="1">
        <v>0</v>
      </c>
      <c r="AEL42" s="1">
        <v>0</v>
      </c>
      <c r="AEM42" s="1">
        <v>0</v>
      </c>
      <c r="AEN42" s="1">
        <v>0</v>
      </c>
      <c r="AEO42" s="1">
        <v>0</v>
      </c>
      <c r="AEP42" s="1">
        <v>0</v>
      </c>
      <c r="AEQ42" s="1">
        <v>0</v>
      </c>
      <c r="AER42" s="1">
        <v>0</v>
      </c>
      <c r="AES42" s="1">
        <v>0</v>
      </c>
      <c r="AET42" s="1">
        <v>0</v>
      </c>
      <c r="AEU42" s="1">
        <v>0</v>
      </c>
      <c r="AEV42" s="1">
        <v>0.02</v>
      </c>
      <c r="AEW42" s="1">
        <v>3.91</v>
      </c>
      <c r="AEX42" s="1">
        <v>8.48</v>
      </c>
      <c r="AEY42" s="1">
        <v>6.65</v>
      </c>
      <c r="AEZ42" s="1">
        <v>5.28</v>
      </c>
      <c r="AFA42" s="1">
        <v>0</v>
      </c>
      <c r="AFB42" s="1">
        <v>5.28</v>
      </c>
      <c r="AFC42" s="1">
        <v>227</v>
      </c>
      <c r="AFD42" s="1">
        <v>230.38</v>
      </c>
      <c r="AFE42" s="1">
        <v>0.52</v>
      </c>
      <c r="AFF42" s="1">
        <v>0.18</v>
      </c>
      <c r="AFG42" s="1">
        <v>0.11989898989898991</v>
      </c>
      <c r="AFH42" s="1">
        <v>0.17949999999999999</v>
      </c>
      <c r="AFI42" s="1">
        <v>0.38175323599898991</v>
      </c>
      <c r="AFJ42" s="1">
        <v>0.7</v>
      </c>
      <c r="AFK42" s="1">
        <v>17.95</v>
      </c>
      <c r="AFL42" s="1">
        <v>17.95</v>
      </c>
      <c r="AFM42" s="1">
        <v>0</v>
      </c>
      <c r="AFO42" s="1">
        <v>17.95</v>
      </c>
      <c r="AFP42" s="1">
        <v>0</v>
      </c>
      <c r="AFQ42" s="1">
        <v>17.95</v>
      </c>
      <c r="AFX42" s="1">
        <v>18.649999999999999</v>
      </c>
    </row>
    <row r="43" spans="1:856" s="1" customFormat="1" ht="63.75" customHeight="1">
      <c r="A43" s="88">
        <v>35</v>
      </c>
      <c r="B43" s="20"/>
      <c r="C43" s="89" t="s">
        <v>528</v>
      </c>
      <c r="D43" s="20"/>
      <c r="E43" s="20" t="s">
        <v>437</v>
      </c>
      <c r="F43" s="20" t="s">
        <v>438</v>
      </c>
      <c r="G43" s="20">
        <v>0.8</v>
      </c>
      <c r="H43" s="20">
        <v>566</v>
      </c>
      <c r="I43" s="20">
        <f>566-0.6</f>
        <v>565.4</v>
      </c>
      <c r="J43" s="20">
        <f t="shared" si="0"/>
        <v>452.32</v>
      </c>
      <c r="K43" s="20">
        <v>12</v>
      </c>
      <c r="L43" s="20"/>
      <c r="M43" s="20"/>
      <c r="N43" s="20"/>
      <c r="O43" s="90">
        <f t="shared" si="1"/>
        <v>0</v>
      </c>
      <c r="P43" s="20"/>
      <c r="Q43" s="20"/>
      <c r="R43" s="90">
        <f t="shared" si="2"/>
        <v>0</v>
      </c>
      <c r="S43" s="20">
        <v>58.1</v>
      </c>
      <c r="T43" s="20">
        <v>2.6</v>
      </c>
      <c r="U43" s="20">
        <v>3.13</v>
      </c>
      <c r="V43" s="91">
        <f t="shared" si="3"/>
        <v>472.82</v>
      </c>
      <c r="W43" s="20">
        <v>2.1000000000000001E-2</v>
      </c>
      <c r="X43" s="20">
        <f t="shared" si="4"/>
        <v>33.42</v>
      </c>
      <c r="Y43" s="91">
        <f t="shared" si="5"/>
        <v>40.78</v>
      </c>
      <c r="Z43" s="20"/>
      <c r="AA43" s="20"/>
      <c r="AB43" s="20"/>
      <c r="AC43" s="91">
        <f t="shared" si="6"/>
        <v>513.59</v>
      </c>
      <c r="AD43" s="90">
        <f t="shared" si="7"/>
        <v>0.91</v>
      </c>
      <c r="AE43" s="92">
        <f t="shared" si="8"/>
        <v>6163.08</v>
      </c>
      <c r="AF43" s="20">
        <v>34</v>
      </c>
      <c r="AG43" s="20">
        <v>34</v>
      </c>
      <c r="AH43" s="20">
        <v>34</v>
      </c>
      <c r="AI43" s="20">
        <f>5+26</f>
        <v>31</v>
      </c>
      <c r="AJ43" s="20">
        <v>1.6</v>
      </c>
      <c r="AK43" s="90">
        <f t="shared" si="9"/>
        <v>4.53</v>
      </c>
      <c r="AL43" s="90">
        <v>391.01</v>
      </c>
      <c r="AM43" s="90">
        <f t="shared" si="10"/>
        <v>1771.28</v>
      </c>
      <c r="AN43" s="20">
        <v>34</v>
      </c>
      <c r="AO43" s="20">
        <v>34</v>
      </c>
      <c r="AP43" s="20">
        <v>34</v>
      </c>
      <c r="AQ43" s="20">
        <v>34</v>
      </c>
      <c r="AR43" s="20">
        <v>34</v>
      </c>
      <c r="AS43" s="20">
        <f>6+29</f>
        <v>35</v>
      </c>
      <c r="AT43" s="20">
        <f t="shared" si="11"/>
        <v>0</v>
      </c>
      <c r="AU43" s="20">
        <v>1.6</v>
      </c>
      <c r="AV43" s="90">
        <f t="shared" si="12"/>
        <v>4.53</v>
      </c>
      <c r="AW43" s="90">
        <f t="shared" si="551"/>
        <v>188.88</v>
      </c>
      <c r="AX43" s="90">
        <v>881.44</v>
      </c>
      <c r="AY43" s="90">
        <f t="shared" si="14"/>
        <v>1.56</v>
      </c>
      <c r="AZ43" s="90">
        <f t="shared" si="15"/>
        <v>1772.58</v>
      </c>
      <c r="BA43" s="90">
        <f t="shared" si="16"/>
        <v>-891.13999999999987</v>
      </c>
      <c r="BB43" s="90">
        <v>881.44</v>
      </c>
      <c r="BC43" s="90">
        <v>1.56</v>
      </c>
      <c r="BD43" s="92">
        <f t="shared" si="17"/>
        <v>10577.28</v>
      </c>
      <c r="BE43" s="90"/>
      <c r="BF43" s="90">
        <f t="shared" si="18"/>
        <v>0</v>
      </c>
      <c r="BG43" s="90">
        <v>391.01</v>
      </c>
      <c r="BH43" s="90">
        <f t="shared" si="19"/>
        <v>1771.28</v>
      </c>
      <c r="BI43" s="90">
        <f t="shared" si="20"/>
        <v>3.13</v>
      </c>
      <c r="BJ43" s="90">
        <f t="shared" si="21"/>
        <v>200.64102564102564</v>
      </c>
      <c r="BK43" s="90">
        <f t="shared" si="22"/>
        <v>1771.28</v>
      </c>
      <c r="BL43" s="90">
        <f t="shared" si="23"/>
        <v>3.13</v>
      </c>
      <c r="BM43" s="90"/>
      <c r="BN43" s="90">
        <f t="shared" si="24"/>
        <v>0</v>
      </c>
      <c r="BO43" s="90">
        <f t="shared" si="25"/>
        <v>1771.28</v>
      </c>
      <c r="BP43" s="90">
        <f t="shared" si="26"/>
        <v>3.1327909444640962</v>
      </c>
      <c r="BQ43" s="90"/>
      <c r="BR43" s="90">
        <f t="shared" si="27"/>
        <v>0</v>
      </c>
      <c r="BS43" s="90">
        <f t="shared" si="28"/>
        <v>1771.28</v>
      </c>
      <c r="BT43" s="90">
        <f t="shared" si="29"/>
        <v>3.1327909444640962</v>
      </c>
      <c r="BU43" s="90"/>
      <c r="BV43" s="93">
        <v>0.82054380000000005</v>
      </c>
      <c r="BW43" s="90">
        <f t="shared" si="30"/>
        <v>463.93546451999998</v>
      </c>
      <c r="BX43" s="90">
        <f t="shared" si="31"/>
        <v>491.77159239119999</v>
      </c>
      <c r="BY43" s="90"/>
      <c r="BZ43" s="90"/>
      <c r="CA43" s="90">
        <v>0.26506960299999999</v>
      </c>
      <c r="CB43" s="90">
        <f t="shared" ref="CB43:CB60" si="556">$I43*CA43</f>
        <v>149.87035353619999</v>
      </c>
      <c r="CC43" s="90">
        <v>0.71072749999999996</v>
      </c>
      <c r="CD43" s="90">
        <f t="shared" si="33"/>
        <v>106.51698169289956</v>
      </c>
      <c r="CE43" s="90">
        <f t="shared" si="34"/>
        <v>161.09500475696035</v>
      </c>
      <c r="CF43" s="90">
        <v>157.40701205825064</v>
      </c>
      <c r="CG43" s="90">
        <f>I43*0.278104262</f>
        <v>157.24014973479999</v>
      </c>
      <c r="CH43" s="90">
        <f t="shared" si="35"/>
        <v>164.79</v>
      </c>
      <c r="CI43" s="90">
        <f t="shared" si="524"/>
        <v>172.93698887644251</v>
      </c>
      <c r="CJ43" s="90">
        <f t="shared" si="36"/>
        <v>173.85</v>
      </c>
      <c r="CK43" s="90">
        <f t="shared" si="37"/>
        <v>183.85888217365252</v>
      </c>
      <c r="CL43" s="90">
        <f t="shared" si="38"/>
        <v>183.85888217365252</v>
      </c>
      <c r="CM43" s="94">
        <v>0.14899999999999999</v>
      </c>
      <c r="CN43" s="90">
        <f t="shared" si="39"/>
        <v>69.126384213479994</v>
      </c>
      <c r="CO43" s="90">
        <f t="shared" si="40"/>
        <v>73.273967266288793</v>
      </c>
      <c r="CP43" s="90"/>
      <c r="CQ43" s="90">
        <v>3.9539251999999997E-2</v>
      </c>
      <c r="CR43" s="90">
        <f t="shared" ref="CR43:CR60" si="557">$I43*CQ43</f>
        <v>22.355493080799999</v>
      </c>
      <c r="CS43" s="90">
        <v>0.71072749999999996</v>
      </c>
      <c r="CT43" s="90">
        <f t="shared" si="42"/>
        <v>15.88866370858428</v>
      </c>
      <c r="CU43" s="90">
        <f t="shared" si="43"/>
        <v>24.02982430628477</v>
      </c>
      <c r="CV43" s="90">
        <f>I43*0.085944968</f>
        <v>48.593284907199994</v>
      </c>
      <c r="CW43" s="90">
        <f t="shared" si="44"/>
        <v>50.93</v>
      </c>
      <c r="CX43" s="90">
        <f t="shared" si="525"/>
        <v>53.447908510693722</v>
      </c>
      <c r="CY43" s="90">
        <f t="shared" si="45"/>
        <v>53.73</v>
      </c>
      <c r="CZ43" s="90">
        <f t="shared" si="46"/>
        <v>56.823429025451325</v>
      </c>
      <c r="DA43" s="90">
        <f t="shared" si="47"/>
        <v>56.823429025451325</v>
      </c>
      <c r="DB43" s="93">
        <v>0.80939899999999998</v>
      </c>
      <c r="DC43" s="90">
        <f t="shared" si="48"/>
        <v>457.63419459999994</v>
      </c>
      <c r="DD43" s="90">
        <f t="shared" si="49"/>
        <v>485.09224627599997</v>
      </c>
      <c r="DE43" s="90"/>
      <c r="DF43" s="90"/>
      <c r="DG43" s="90">
        <v>0.16261500000000001</v>
      </c>
      <c r="DH43" s="90">
        <f t="shared" ref="DH43:DH60" si="558">$I43*DG43</f>
        <v>91.942520999999999</v>
      </c>
      <c r="DI43" s="90">
        <v>0.71072749999999996</v>
      </c>
      <c r="DJ43" s="90">
        <f t="shared" si="51"/>
        <v>65.34607809402749</v>
      </c>
      <c r="DK43" s="90">
        <f t="shared" si="52"/>
        <v>98.828624263466011</v>
      </c>
      <c r="DL43" s="90">
        <f>I43*0.138254503</f>
        <v>78.169095996199999</v>
      </c>
      <c r="DM43" s="90">
        <f t="shared" si="53"/>
        <v>81.92</v>
      </c>
      <c r="DN43" s="90">
        <f t="shared" si="526"/>
        <v>85.970011097506955</v>
      </c>
      <c r="DO43" s="90">
        <f t="shared" si="54"/>
        <v>86.43</v>
      </c>
      <c r="DP43" s="90">
        <f t="shared" si="55"/>
        <v>91.399475864224854</v>
      </c>
      <c r="DQ43" s="90">
        <f t="shared" si="56"/>
        <v>91.399475864224854</v>
      </c>
      <c r="DR43" s="93">
        <v>3.1841000000000001E-2</v>
      </c>
      <c r="DS43" s="90">
        <f t="shared" si="57"/>
        <v>18.002901399999999</v>
      </c>
      <c r="DT43" s="90">
        <f t="shared" si="58"/>
        <v>19.083075483999998</v>
      </c>
      <c r="DU43" s="90"/>
      <c r="DV43" s="90">
        <v>6.1506180000000001E-3</v>
      </c>
      <c r="DW43" s="90">
        <f t="shared" ref="DW43:DW60" si="559">$I43*DV43</f>
        <v>3.4775594171999997</v>
      </c>
      <c r="DX43" s="90">
        <v>0.71072749999999996</v>
      </c>
      <c r="DY43" s="90">
        <f t="shared" si="60"/>
        <v>2.4715971106880126</v>
      </c>
      <c r="DZ43" s="90">
        <f t="shared" si="61"/>
        <v>3.7380138075215128</v>
      </c>
      <c r="EA43" s="90">
        <f t="shared" si="62"/>
        <v>3.92</v>
      </c>
      <c r="EB43" s="90">
        <f t="shared" si="527"/>
        <v>4.1137993591580475</v>
      </c>
      <c r="EC43" s="90">
        <f t="shared" si="63"/>
        <v>4.1399999999999997</v>
      </c>
      <c r="ED43" s="90">
        <f t="shared" si="64"/>
        <v>4.3736077317841966</v>
      </c>
      <c r="EE43" s="90">
        <f t="shared" si="65"/>
        <v>4.3736077317841966</v>
      </c>
      <c r="EF43" s="94">
        <v>0.85293354333000004</v>
      </c>
      <c r="EG43" s="90">
        <f t="shared" si="66"/>
        <v>385.79890031902562</v>
      </c>
      <c r="EH43" s="90">
        <f t="shared" si="67"/>
        <v>408.94683433816715</v>
      </c>
      <c r="EI43" s="90"/>
      <c r="EJ43" s="90">
        <v>0.58970610199999995</v>
      </c>
      <c r="EK43" s="90">
        <f t="shared" si="68"/>
        <v>266.73586405663997</v>
      </c>
      <c r="EL43" s="90">
        <v>0.71072749999999996</v>
      </c>
      <c r="EM43" s="90">
        <f t="shared" si="69"/>
        <v>189.57651382131556</v>
      </c>
      <c r="EN43" s="90">
        <f t="shared" si="70"/>
        <v>286.71324431537636</v>
      </c>
      <c r="EO43" s="90">
        <f>J43*0.618073646</f>
        <v>279.56707155871999</v>
      </c>
      <c r="EP43" s="90">
        <f t="shared" si="71"/>
        <v>292.99</v>
      </c>
      <c r="EQ43" s="90">
        <f t="shared" si="528"/>
        <v>307.47501893870322</v>
      </c>
      <c r="ER43" s="90">
        <f t="shared" si="72"/>
        <v>309.10000000000002</v>
      </c>
      <c r="ES43" s="90">
        <f t="shared" si="73"/>
        <v>326.89370646312551</v>
      </c>
      <c r="ET43" s="90">
        <f t="shared" si="74"/>
        <v>326.89370646312551</v>
      </c>
      <c r="EU43" s="94">
        <v>0.14899999999999999</v>
      </c>
      <c r="EV43" s="90">
        <f t="shared" si="75"/>
        <v>57.484036147534816</v>
      </c>
      <c r="EW43" s="90">
        <f t="shared" si="76"/>
        <v>60.933078316386911</v>
      </c>
      <c r="EX43" s="90"/>
      <c r="EY43" s="90">
        <v>8.7874999999999995E-2</v>
      </c>
      <c r="EZ43" s="90">
        <f t="shared" si="77"/>
        <v>39.747619999999998</v>
      </c>
      <c r="FA43" s="90">
        <v>0.71072749999999996</v>
      </c>
      <c r="FB43" s="90">
        <f t="shared" si="78"/>
        <v>28.249726593549997</v>
      </c>
      <c r="FC43" s="90">
        <f t="shared" si="79"/>
        <v>42.724547463159375</v>
      </c>
      <c r="FD43" s="90">
        <f>J43*0.191142957</f>
        <v>86.457782310240006</v>
      </c>
      <c r="FE43" s="90">
        <f t="shared" si="80"/>
        <v>90.61</v>
      </c>
      <c r="FF43" s="90">
        <f t="shared" si="529"/>
        <v>95.089632636048648</v>
      </c>
      <c r="FG43" s="90">
        <f t="shared" si="81"/>
        <v>95.59</v>
      </c>
      <c r="FH43" s="90">
        <f t="shared" si="82"/>
        <v>101.09505014718523</v>
      </c>
      <c r="FI43" s="90">
        <f t="shared" si="83"/>
        <v>101.09505014718523</v>
      </c>
      <c r="FJ43" s="93">
        <v>0.49981642240000002</v>
      </c>
      <c r="FK43" s="90">
        <f t="shared" si="84"/>
        <v>226.076964179968</v>
      </c>
      <c r="FL43" s="90">
        <f t="shared" si="85"/>
        <v>239.6415820307661</v>
      </c>
      <c r="FM43" s="90"/>
      <c r="FN43" s="90">
        <v>0.35816899099999999</v>
      </c>
      <c r="FO43" s="90">
        <f t="shared" si="86"/>
        <v>162.00699800912</v>
      </c>
      <c r="FP43" s="90">
        <v>0.71072749999999996</v>
      </c>
      <c r="FQ43" s="90">
        <f t="shared" si="87"/>
        <v>115.14282867752682</v>
      </c>
      <c r="FR43" s="90">
        <f t="shared" si="88"/>
        <v>174.14063221407</v>
      </c>
      <c r="FS43" s="90">
        <f>J43*0.303440325</f>
        <v>137.252127804</v>
      </c>
      <c r="FT43" s="90">
        <f t="shared" si="89"/>
        <v>143.84</v>
      </c>
      <c r="FU43" s="90">
        <f>J43*0.303696809</f>
        <v>137.36814064687999</v>
      </c>
      <c r="FV43" s="90">
        <f t="shared" si="90"/>
        <v>143.96</v>
      </c>
      <c r="FW43" s="90">
        <f t="shared" si="530"/>
        <v>151.07718258785525</v>
      </c>
      <c r="FX43" s="90">
        <f t="shared" si="91"/>
        <v>151.88</v>
      </c>
      <c r="FY43" s="90">
        <f t="shared" si="92"/>
        <v>160.61851251725844</v>
      </c>
      <c r="FZ43" s="90">
        <f t="shared" si="93"/>
        <v>160.61851251725844</v>
      </c>
      <c r="GA43" s="94">
        <v>1.352261642E-2</v>
      </c>
      <c r="GB43" s="90">
        <f t="shared" si="94"/>
        <v>6.1165498590944001</v>
      </c>
      <c r="GC43" s="90">
        <f t="shared" si="95"/>
        <v>6.4835428506400641</v>
      </c>
      <c r="GD43" s="90"/>
      <c r="GE43" s="90">
        <v>1.0795000000000001E-2</v>
      </c>
      <c r="GF43" s="90">
        <f t="shared" si="96"/>
        <v>4.8827943999999999</v>
      </c>
      <c r="GG43" s="90">
        <v>0.71072749999999996</v>
      </c>
      <c r="GH43" s="90">
        <f t="shared" si="97"/>
        <v>3.4703362569259997</v>
      </c>
      <c r="GI43" s="90">
        <f t="shared" si="98"/>
        <v>5.248494906000631</v>
      </c>
      <c r="GJ43" s="90">
        <f t="shared" si="99"/>
        <v>5.5</v>
      </c>
      <c r="GK43" s="90">
        <f t="shared" si="531"/>
        <v>5.771912366165628</v>
      </c>
      <c r="GL43" s="90">
        <f t="shared" si="100"/>
        <v>5.8</v>
      </c>
      <c r="GM43" s="90">
        <f t="shared" si="101"/>
        <v>6.1364394195951748</v>
      </c>
      <c r="GN43" s="90">
        <f t="shared" si="102"/>
        <v>6.1364394195951748</v>
      </c>
      <c r="GO43" s="90"/>
      <c r="GP43" s="90">
        <f t="shared" si="103"/>
        <v>0</v>
      </c>
      <c r="GQ43" s="90"/>
      <c r="GR43" s="90">
        <f t="shared" si="104"/>
        <v>0</v>
      </c>
      <c r="GS43" s="90">
        <f t="shared" si="105"/>
        <v>0</v>
      </c>
      <c r="GT43" s="90">
        <f t="shared" si="106"/>
        <v>0</v>
      </c>
      <c r="GU43" s="90"/>
      <c r="GV43" s="90"/>
      <c r="GW43" s="90">
        <f t="shared" si="107"/>
        <v>0</v>
      </c>
      <c r="GX43" s="90">
        <f t="shared" si="108"/>
        <v>0</v>
      </c>
      <c r="GY43" s="90"/>
      <c r="GZ43" s="90"/>
      <c r="HA43" s="90">
        <f t="shared" si="109"/>
        <v>0</v>
      </c>
      <c r="HB43" s="90">
        <f t="shared" si="110"/>
        <v>0</v>
      </c>
      <c r="HC43" s="90"/>
      <c r="HD43" s="90"/>
      <c r="HE43" s="90">
        <f t="shared" si="111"/>
        <v>0</v>
      </c>
      <c r="HF43" s="90">
        <f t="shared" si="112"/>
        <v>0</v>
      </c>
      <c r="HG43" s="90"/>
      <c r="HH43" s="90"/>
      <c r="HI43" s="90">
        <v>0.96</v>
      </c>
      <c r="HJ43" s="90">
        <f t="shared" si="113"/>
        <v>542.78399999999999</v>
      </c>
      <c r="HK43" s="90">
        <f t="shared" si="114"/>
        <v>1.0060841881853555</v>
      </c>
      <c r="HL43" s="90">
        <f t="shared" si="115"/>
        <v>568.84</v>
      </c>
      <c r="HM43" s="90">
        <v>1.07</v>
      </c>
      <c r="HN43" s="90">
        <f t="shared" si="116"/>
        <v>604.97800000000007</v>
      </c>
      <c r="HO43" s="90">
        <v>1.1499999999999999</v>
      </c>
      <c r="HP43" s="90">
        <f t="shared" si="117"/>
        <v>650.21</v>
      </c>
      <c r="HQ43" s="90">
        <v>1.1499999999999999</v>
      </c>
      <c r="HR43" s="90">
        <f t="shared" si="118"/>
        <v>650.21</v>
      </c>
      <c r="HS43" s="90">
        <v>0.96</v>
      </c>
      <c r="HT43" s="90">
        <v>180.67924546883893</v>
      </c>
      <c r="HU43" s="90" t="e">
        <f>HT43*#REF!</f>
        <v>#REF!</v>
      </c>
      <c r="HV43" s="20">
        <v>2.5</v>
      </c>
      <c r="HW43" s="90">
        <v>3.1</v>
      </c>
      <c r="HX43" s="90">
        <f t="shared" si="120"/>
        <v>1752.74</v>
      </c>
      <c r="HY43" s="90">
        <v>1.06</v>
      </c>
      <c r="HZ43" s="90">
        <f t="shared" si="121"/>
        <v>1857.9044000000001</v>
      </c>
      <c r="IA43" s="90">
        <f t="shared" si="122"/>
        <v>3.29</v>
      </c>
      <c r="IB43" s="90">
        <f t="shared" si="123"/>
        <v>3.45</v>
      </c>
      <c r="IC43" s="90">
        <f t="shared" si="124"/>
        <v>1950.63</v>
      </c>
      <c r="ID43" s="90">
        <f t="shared" si="125"/>
        <v>3.64</v>
      </c>
      <c r="IE43" s="90">
        <f t="shared" si="126"/>
        <v>2058.06</v>
      </c>
      <c r="IF43" s="90">
        <f t="shared" si="127"/>
        <v>3.64</v>
      </c>
      <c r="IG43" s="92">
        <f t="shared" si="128"/>
        <v>24696.720000000001</v>
      </c>
      <c r="IH43" s="90">
        <v>3.91</v>
      </c>
      <c r="II43" s="90">
        <f t="shared" si="129"/>
        <v>4.1100000000000003</v>
      </c>
      <c r="IJ43" s="90">
        <f t="shared" si="130"/>
        <v>2323.79</v>
      </c>
      <c r="IK43" s="90">
        <f t="shared" si="131"/>
        <v>4.1100000000000003</v>
      </c>
      <c r="IL43" s="90">
        <f t="shared" si="132"/>
        <v>2323.79</v>
      </c>
      <c r="IM43" s="90">
        <f t="shared" si="133"/>
        <v>4.1100000000000003</v>
      </c>
      <c r="IN43" s="90">
        <f t="shared" si="134"/>
        <v>2323.79</v>
      </c>
      <c r="IO43" s="90">
        <f t="shared" si="135"/>
        <v>4.1100000000000003</v>
      </c>
      <c r="IP43" s="93">
        <v>0.37052404126999999</v>
      </c>
      <c r="IQ43" s="90">
        <f t="shared" si="136"/>
        <v>167.5954343472464</v>
      </c>
      <c r="IR43" s="90">
        <f t="shared" si="137"/>
        <v>177.65116040808118</v>
      </c>
      <c r="IS43" s="90">
        <v>108693.96</v>
      </c>
      <c r="IT43" s="90">
        <v>3053.33</v>
      </c>
      <c r="IU43" s="94"/>
      <c r="IV43" s="94"/>
      <c r="IW43" s="94">
        <v>1.6976990999999999</v>
      </c>
      <c r="IX43" s="90">
        <f t="shared" si="138"/>
        <v>767.90325691199996</v>
      </c>
      <c r="IY43" s="93">
        <v>0.56339614052999998</v>
      </c>
      <c r="IZ43" s="90">
        <f t="shared" si="139"/>
        <v>318.54417785566199</v>
      </c>
      <c r="JA43" s="90">
        <f t="shared" si="140"/>
        <v>333.83</v>
      </c>
      <c r="JB43" s="90">
        <f t="shared" si="532"/>
        <v>350.33409185401302</v>
      </c>
      <c r="JC43" s="90">
        <f t="shared" si="141"/>
        <v>352.19</v>
      </c>
      <c r="JD43" s="90">
        <f t="shared" si="142"/>
        <v>372.45955844426493</v>
      </c>
      <c r="JE43" s="90">
        <f t="shared" si="143"/>
        <v>372.45955844426493</v>
      </c>
      <c r="JF43" s="93">
        <v>4.2278943710000003E-2</v>
      </c>
      <c r="JG43" s="90">
        <f t="shared" si="144"/>
        <v>19.1236118189072</v>
      </c>
      <c r="JH43" s="90">
        <f t="shared" si="145"/>
        <v>20.271028528041633</v>
      </c>
      <c r="JI43" s="20">
        <v>462.98</v>
      </c>
      <c r="JJ43" s="20"/>
      <c r="JK43" s="20">
        <v>6.0564350000000003E-2</v>
      </c>
      <c r="JL43" s="90">
        <f t="shared" si="146"/>
        <v>27.394466791999999</v>
      </c>
      <c r="JM43" s="93">
        <v>6.7347080040000007E-2</v>
      </c>
      <c r="JN43" s="90">
        <f t="shared" si="147"/>
        <v>38.078039054615999</v>
      </c>
      <c r="JO43" s="90">
        <f t="shared" si="148"/>
        <v>39.909999999999997</v>
      </c>
      <c r="JP43" s="90">
        <f t="shared" si="533"/>
        <v>41.883095006121856</v>
      </c>
      <c r="JQ43" s="90">
        <f t="shared" si="149"/>
        <v>42.11</v>
      </c>
      <c r="JR43" s="90">
        <f t="shared" si="150"/>
        <v>44.528235861098807</v>
      </c>
      <c r="JS43" s="90">
        <f t="shared" si="151"/>
        <v>44.528235861098807</v>
      </c>
      <c r="JT43" s="93">
        <v>7.3220517000000002E-3</v>
      </c>
      <c r="JU43" s="90">
        <f t="shared" si="152"/>
        <v>3.3119104249440001</v>
      </c>
      <c r="JV43" s="90">
        <f t="shared" si="153"/>
        <v>3.47</v>
      </c>
      <c r="JW43" s="90">
        <f t="shared" si="534"/>
        <v>3.6415519837444967</v>
      </c>
      <c r="JX43" s="90">
        <f t="shared" si="154"/>
        <v>3.66</v>
      </c>
      <c r="JY43" s="90">
        <f t="shared" si="155"/>
        <v>3.8715354156355013</v>
      </c>
      <c r="JZ43" s="90">
        <f t="shared" si="156"/>
        <v>3.8715354156355013</v>
      </c>
      <c r="KA43" s="90">
        <v>8.3091099999999998E-3</v>
      </c>
      <c r="KB43" s="90">
        <f t="shared" si="157"/>
        <v>3.7583766351999999</v>
      </c>
      <c r="KC43" s="90" t="e">
        <f>KB43*#REF!</f>
        <v>#REF!</v>
      </c>
      <c r="KD43" s="90">
        <v>16587.36</v>
      </c>
      <c r="KE43" s="90">
        <v>17977.669999999998</v>
      </c>
      <c r="KF43" s="90"/>
      <c r="KG43" s="90">
        <f t="shared" si="550"/>
        <v>612.79037881857028</v>
      </c>
      <c r="KH43" s="90" t="e">
        <f>KG43/(BW43+#REF!)*(CB43+#REF!)</f>
        <v>#REF!</v>
      </c>
      <c r="KI43" s="90">
        <v>0.8</v>
      </c>
      <c r="KJ43" s="94"/>
      <c r="KK43" s="90">
        <f t="shared" si="159"/>
        <v>0</v>
      </c>
      <c r="KL43" s="93">
        <v>1.1147001000000001</v>
      </c>
      <c r="KM43" s="90">
        <f>$I43*KL43</f>
        <v>630.25143653999999</v>
      </c>
      <c r="KN43" s="90">
        <f t="shared" si="161"/>
        <v>668.06652273240002</v>
      </c>
      <c r="KO43" s="90" t="e">
        <f>BW43+CN43+DC43+DS43+EG43+EV43+FK43+GB43+#REF!+#REF!+HJ43+HX43+IQ43+JG43+JU43+KK43+KM43</f>
        <v>#REF!</v>
      </c>
      <c r="KP43" s="90"/>
      <c r="KQ43" s="90">
        <v>0.50814739200000003</v>
      </c>
      <c r="KR43" s="90">
        <f t="shared" ref="KR43:KR60" si="560">$I43*KQ43</f>
        <v>287.3065354368</v>
      </c>
      <c r="KS43" s="90">
        <v>0.71072749999999996</v>
      </c>
      <c r="KT43" s="90">
        <f t="shared" si="163"/>
        <v>204.19665566465827</v>
      </c>
      <c r="KU43" s="90">
        <f t="shared" si="164"/>
        <v>308.82457137673765</v>
      </c>
      <c r="KV43" s="90">
        <f t="shared" si="165"/>
        <v>323.64999999999998</v>
      </c>
      <c r="KW43" s="90">
        <f t="shared" si="535"/>
        <v>339.65080678354644</v>
      </c>
      <c r="KX43" s="90">
        <f t="shared" si="166"/>
        <v>341.45</v>
      </c>
      <c r="KY43" s="90">
        <f t="shared" si="167"/>
        <v>361.10156693672332</v>
      </c>
      <c r="KZ43" s="90">
        <f t="shared" si="168"/>
        <v>361.10156693672332</v>
      </c>
      <c r="LA43" s="90">
        <f t="shared" si="169"/>
        <v>2216.37</v>
      </c>
      <c r="LB43" s="90">
        <f t="shared" si="170"/>
        <v>3.92</v>
      </c>
      <c r="LC43" s="92">
        <f t="shared" si="171"/>
        <v>26596.44</v>
      </c>
      <c r="LD43" s="92">
        <v>4.21</v>
      </c>
      <c r="LE43" s="92">
        <v>2380.33</v>
      </c>
      <c r="LF43" s="90">
        <f t="shared" si="172"/>
        <v>4.18</v>
      </c>
      <c r="LG43" s="90">
        <f t="shared" si="173"/>
        <v>2363.37</v>
      </c>
      <c r="LH43" s="90">
        <f t="shared" si="174"/>
        <v>2382.5977499999999</v>
      </c>
      <c r="LI43" s="90">
        <f t="shared" si="175"/>
        <v>4.21</v>
      </c>
      <c r="LJ43" s="90">
        <f t="shared" si="176"/>
        <v>2363.37</v>
      </c>
      <c r="LK43" s="90">
        <f t="shared" si="177"/>
        <v>4.18</v>
      </c>
      <c r="LL43" s="90">
        <f t="shared" si="178"/>
        <v>2363.37</v>
      </c>
      <c r="LM43" s="90">
        <f t="shared" si="179"/>
        <v>4.18</v>
      </c>
      <c r="LN43" s="95">
        <v>0.46</v>
      </c>
      <c r="LO43" s="95">
        <f t="shared" si="180"/>
        <v>260.08</v>
      </c>
      <c r="LP43" s="95"/>
      <c r="LQ43" s="95">
        <f t="shared" si="181"/>
        <v>0</v>
      </c>
      <c r="LR43" s="90"/>
      <c r="LS43" s="90"/>
      <c r="LT43" s="90">
        <f t="shared" si="182"/>
        <v>0</v>
      </c>
      <c r="LU43" s="90"/>
      <c r="LV43" s="90">
        <f t="shared" si="183"/>
        <v>0</v>
      </c>
      <c r="LW43" s="90">
        <f t="shared" si="184"/>
        <v>0</v>
      </c>
      <c r="LX43" s="90"/>
      <c r="LY43" s="90"/>
      <c r="LZ43" s="90">
        <f t="shared" si="185"/>
        <v>0</v>
      </c>
      <c r="MA43" s="90"/>
      <c r="MB43" s="90">
        <f t="shared" si="186"/>
        <v>0</v>
      </c>
      <c r="MC43" s="90">
        <f t="shared" si="187"/>
        <v>0</v>
      </c>
      <c r="MD43" s="90"/>
      <c r="ME43" s="90"/>
      <c r="MF43" s="90">
        <f t="shared" si="188"/>
        <v>0</v>
      </c>
      <c r="MG43" s="90"/>
      <c r="MH43" s="90">
        <f t="shared" si="189"/>
        <v>0</v>
      </c>
      <c r="MI43" s="90">
        <f t="shared" si="190"/>
        <v>0</v>
      </c>
      <c r="MJ43" s="90"/>
      <c r="MK43" s="90"/>
      <c r="ML43" s="90">
        <f t="shared" si="191"/>
        <v>0</v>
      </c>
      <c r="MM43" s="90"/>
      <c r="MN43" s="90">
        <f t="shared" si="192"/>
        <v>0</v>
      </c>
      <c r="MO43" s="90">
        <f t="shared" si="193"/>
        <v>0</v>
      </c>
      <c r="MP43" s="90">
        <f t="shared" si="194"/>
        <v>0</v>
      </c>
      <c r="MQ43" s="90">
        <f t="shared" si="195"/>
        <v>0</v>
      </c>
      <c r="MR43" s="90">
        <f t="shared" si="196"/>
        <v>0</v>
      </c>
      <c r="MS43" s="90">
        <f t="shared" si="197"/>
        <v>0</v>
      </c>
      <c r="MT43" s="95"/>
      <c r="MU43" s="95">
        <f t="shared" si="198"/>
        <v>0</v>
      </c>
      <c r="MV43" s="92">
        <f t="shared" si="199"/>
        <v>0</v>
      </c>
      <c r="MW43" s="95"/>
      <c r="MX43" s="95">
        <f t="shared" si="200"/>
        <v>0</v>
      </c>
      <c r="MY43" s="95"/>
      <c r="MZ43" s="95">
        <f t="shared" si="201"/>
        <v>0</v>
      </c>
      <c r="NA43" s="95"/>
      <c r="NB43" s="95">
        <f t="shared" si="202"/>
        <v>0</v>
      </c>
      <c r="NC43" s="92">
        <f t="shared" si="203"/>
        <v>0</v>
      </c>
      <c r="ND43" s="95"/>
      <c r="NE43" s="95">
        <f t="shared" si="204"/>
        <v>0</v>
      </c>
      <c r="NF43" s="95"/>
      <c r="NG43" s="95">
        <f t="shared" si="205"/>
        <v>0</v>
      </c>
      <c r="NH43" s="95"/>
      <c r="NI43" s="95"/>
      <c r="NJ43" s="95">
        <f t="shared" si="206"/>
        <v>0</v>
      </c>
      <c r="NK43" s="92">
        <f t="shared" si="207"/>
        <v>0</v>
      </c>
      <c r="NL43" s="95"/>
      <c r="NM43" s="95">
        <f t="shared" si="208"/>
        <v>0</v>
      </c>
      <c r="NN43" s="95"/>
      <c r="NO43" s="95">
        <f t="shared" si="209"/>
        <v>0</v>
      </c>
      <c r="NP43" s="95"/>
      <c r="NQ43" s="95">
        <f t="shared" si="210"/>
        <v>0</v>
      </c>
      <c r="NR43" s="92">
        <f t="shared" si="211"/>
        <v>0</v>
      </c>
      <c r="NS43" s="95"/>
      <c r="NT43" s="95">
        <f t="shared" si="212"/>
        <v>0</v>
      </c>
      <c r="NU43" s="95"/>
      <c r="NV43" s="95">
        <f t="shared" si="213"/>
        <v>0</v>
      </c>
      <c r="NW43" s="95"/>
      <c r="NX43" s="95">
        <f t="shared" si="214"/>
        <v>0</v>
      </c>
      <c r="NY43" s="92">
        <f t="shared" si="215"/>
        <v>0</v>
      </c>
      <c r="NZ43" s="95"/>
      <c r="OA43" s="95">
        <f t="shared" si="216"/>
        <v>0</v>
      </c>
      <c r="OB43" s="95"/>
      <c r="OC43" s="95">
        <f t="shared" si="217"/>
        <v>0</v>
      </c>
      <c r="OD43" s="90">
        <v>3222.78</v>
      </c>
      <c r="OE43" s="90">
        <f t="shared" si="218"/>
        <v>5.7</v>
      </c>
      <c r="OF43" s="92">
        <f t="shared" si="219"/>
        <v>38673.360000000001</v>
      </c>
      <c r="OG43" s="96">
        <v>881.44</v>
      </c>
      <c r="OH43" s="96">
        <v>1.56</v>
      </c>
      <c r="OI43" s="111">
        <v>5495.69</v>
      </c>
      <c r="OJ43" s="90">
        <f t="shared" si="220"/>
        <v>9.7200000000000006</v>
      </c>
      <c r="OK43" s="90">
        <f t="shared" si="221"/>
        <v>4104.22</v>
      </c>
      <c r="OL43" s="90">
        <f t="shared" si="222"/>
        <v>7.26</v>
      </c>
      <c r="OM43" s="90">
        <f t="shared" si="223"/>
        <v>2.4600000000000009</v>
      </c>
      <c r="ON43" s="90">
        <v>4613.66</v>
      </c>
      <c r="OO43" s="90">
        <f t="shared" si="224"/>
        <v>8.16</v>
      </c>
      <c r="OP43" s="90">
        <v>4614.25</v>
      </c>
      <c r="OQ43" s="90">
        <v>8.16</v>
      </c>
      <c r="OR43" s="90">
        <f t="shared" si="225"/>
        <v>0</v>
      </c>
      <c r="OS43" s="90">
        <f t="shared" si="226"/>
        <v>8.16</v>
      </c>
      <c r="OT43" s="90">
        <v>4613.66</v>
      </c>
      <c r="OU43" s="90">
        <f t="shared" si="227"/>
        <v>8.16</v>
      </c>
      <c r="OV43" s="97">
        <v>4048.26</v>
      </c>
      <c r="OW43" s="90">
        <f t="shared" si="228"/>
        <v>4048.26</v>
      </c>
      <c r="OX43" s="90">
        <f t="shared" si="229"/>
        <v>7.16</v>
      </c>
      <c r="OY43" s="90">
        <f>OU43-1</f>
        <v>7.16</v>
      </c>
      <c r="OZ43" s="90"/>
      <c r="PA43" s="90"/>
      <c r="PB43" s="95">
        <f t="shared" si="230"/>
        <v>0</v>
      </c>
      <c r="PC43" s="92">
        <f t="shared" si="231"/>
        <v>0</v>
      </c>
      <c r="PD43" s="90"/>
      <c r="PE43" s="95">
        <f t="shared" si="232"/>
        <v>0</v>
      </c>
      <c r="PF43" s="90">
        <f t="shared" si="233"/>
        <v>8378.65</v>
      </c>
      <c r="PG43" s="90">
        <f t="shared" si="234"/>
        <v>14.82</v>
      </c>
      <c r="PH43" s="90">
        <f t="shared" si="235"/>
        <v>10766.779999999999</v>
      </c>
      <c r="PI43" s="90">
        <f t="shared" si="236"/>
        <v>19.04</v>
      </c>
      <c r="PJ43" s="90">
        <f t="shared" si="237"/>
        <v>10766.779999999999</v>
      </c>
      <c r="PK43" s="90">
        <f t="shared" si="238"/>
        <v>19.04</v>
      </c>
      <c r="PL43" s="90"/>
      <c r="PM43" s="90">
        <f t="shared" si="239"/>
        <v>251.36</v>
      </c>
      <c r="PN43" s="90">
        <f t="shared" si="240"/>
        <v>0.44</v>
      </c>
      <c r="PO43" s="92">
        <f t="shared" si="241"/>
        <v>3016.32</v>
      </c>
      <c r="PP43" s="90">
        <f t="shared" si="242"/>
        <v>323</v>
      </c>
      <c r="PQ43" s="90">
        <f t="shared" si="243"/>
        <v>0.56999999999999995</v>
      </c>
      <c r="PR43" s="90">
        <f t="shared" si="244"/>
        <v>323</v>
      </c>
      <c r="PS43" s="90">
        <f t="shared" si="245"/>
        <v>0.56999999999999995</v>
      </c>
      <c r="PT43" s="90">
        <f t="shared" si="246"/>
        <v>8630.01</v>
      </c>
      <c r="PU43" s="90">
        <f t="shared" si="247"/>
        <v>15.26</v>
      </c>
      <c r="PV43" s="90">
        <f t="shared" si="248"/>
        <v>11089.779999999999</v>
      </c>
      <c r="PW43" s="90">
        <f t="shared" si="249"/>
        <v>19.61</v>
      </c>
      <c r="PX43" s="90">
        <f t="shared" si="250"/>
        <v>11089.779999999999</v>
      </c>
      <c r="PY43" s="90">
        <f t="shared" si="251"/>
        <v>19.61</v>
      </c>
      <c r="PZ43" s="90">
        <f t="shared" si="252"/>
        <v>87.17</v>
      </c>
      <c r="QA43" s="90">
        <f t="shared" si="253"/>
        <v>0.15</v>
      </c>
      <c r="QB43" s="92">
        <f t="shared" si="254"/>
        <v>1046.04</v>
      </c>
      <c r="QC43" s="90">
        <f t="shared" si="255"/>
        <v>112.02</v>
      </c>
      <c r="QD43" s="90">
        <f t="shared" si="256"/>
        <v>0.2</v>
      </c>
      <c r="QE43" s="90">
        <f t="shared" si="257"/>
        <v>112.02</v>
      </c>
      <c r="QF43" s="90">
        <f t="shared" si="258"/>
        <v>0.2</v>
      </c>
      <c r="QG43" s="90">
        <f t="shared" si="259"/>
        <v>8717.18</v>
      </c>
      <c r="QH43" s="90">
        <f t="shared" si="260"/>
        <v>15.42</v>
      </c>
      <c r="QI43" s="92">
        <f t="shared" si="261"/>
        <v>104606.16</v>
      </c>
      <c r="QJ43" s="90">
        <f t="shared" si="262"/>
        <v>355.07080678354646</v>
      </c>
      <c r="QK43" s="98">
        <f t="shared" si="263"/>
        <v>0.21869999999999998</v>
      </c>
      <c r="QL43" s="90">
        <f t="shared" si="264"/>
        <v>123.65297999999999</v>
      </c>
      <c r="QM43" s="90">
        <f t="shared" si="265"/>
        <v>0.14579999999999999</v>
      </c>
      <c r="QN43" s="90">
        <f t="shared" si="266"/>
        <v>82.43531999999999</v>
      </c>
      <c r="QO43" s="90">
        <v>0.21869999999999998</v>
      </c>
      <c r="QP43" s="90">
        <v>0.14579999999999999</v>
      </c>
      <c r="QQ43" s="97">
        <f t="shared" si="267"/>
        <v>206.08829999999998</v>
      </c>
      <c r="QR43" s="97">
        <v>206.30699999999996</v>
      </c>
      <c r="QS43" s="97">
        <f t="shared" si="268"/>
        <v>-0.21869999999998413</v>
      </c>
      <c r="QT43" s="90"/>
      <c r="QU43" s="90">
        <f t="shared" si="269"/>
        <v>0.14579999999999999</v>
      </c>
      <c r="QV43" s="90">
        <f t="shared" si="270"/>
        <v>82.43531999999999</v>
      </c>
      <c r="QW43" s="90">
        <f t="shared" si="271"/>
        <v>206.08829999999998</v>
      </c>
      <c r="QX43" s="90">
        <f t="shared" si="272"/>
        <v>0.36449999999999999</v>
      </c>
      <c r="QY43" s="90"/>
      <c r="QZ43" s="90"/>
      <c r="RA43" s="90"/>
      <c r="RB43" s="90">
        <v>2104.3200000000002</v>
      </c>
      <c r="RC43" s="97">
        <f t="shared" si="273"/>
        <v>8717.18</v>
      </c>
      <c r="RD43" s="97">
        <f t="shared" si="274"/>
        <v>15.42</v>
      </c>
      <c r="RE43" s="90">
        <f t="shared" si="275"/>
        <v>11201.8</v>
      </c>
      <c r="RF43" s="90">
        <f t="shared" si="276"/>
        <v>19.809999999999999</v>
      </c>
      <c r="RG43" s="90">
        <f t="shared" si="277"/>
        <v>128.55288773523685</v>
      </c>
      <c r="RH43" s="90">
        <f t="shared" si="278"/>
        <v>11201.8</v>
      </c>
      <c r="RI43" s="90">
        <f t="shared" si="279"/>
        <v>19.809999999999999</v>
      </c>
      <c r="RJ43" s="90">
        <v>19.809999999999999</v>
      </c>
      <c r="RK43" s="90">
        <v>0</v>
      </c>
      <c r="RL43" s="90">
        <f t="shared" si="280"/>
        <v>0</v>
      </c>
      <c r="RM43" s="90">
        <f t="shared" si="281"/>
        <v>103.44647519582246</v>
      </c>
      <c r="RN43" s="90">
        <f t="shared" si="282"/>
        <v>5669.46</v>
      </c>
      <c r="RO43" s="90"/>
      <c r="RP43" s="90"/>
      <c r="RQ43" s="99">
        <v>3551</v>
      </c>
      <c r="RR43" s="90">
        <f t="shared" si="283"/>
        <v>5494.4</v>
      </c>
      <c r="RS43" s="90">
        <f t="shared" si="284"/>
        <v>9.7177219667492043</v>
      </c>
      <c r="RT43" s="90">
        <f>11.28+3.3</f>
        <v>14.579999999999998</v>
      </c>
      <c r="RU43" s="90">
        <f t="shared" si="285"/>
        <v>8243.5319999999992</v>
      </c>
      <c r="RV43" s="90">
        <f t="shared" si="286"/>
        <v>0.6279993045340404</v>
      </c>
      <c r="RW43" s="90">
        <v>10.43</v>
      </c>
      <c r="RX43" s="90">
        <f t="shared" si="287"/>
        <v>10.951499999999999</v>
      </c>
      <c r="RY43" s="90">
        <f t="shared" si="288"/>
        <v>6191.9780999999994</v>
      </c>
      <c r="RZ43" s="90">
        <f t="shared" si="289"/>
        <v>1633.5775089553979</v>
      </c>
      <c r="SA43" s="90">
        <f t="shared" si="290"/>
        <v>730.85938162017601</v>
      </c>
      <c r="SB43" s="90">
        <f t="shared" si="291"/>
        <v>1105.3429574095767</v>
      </c>
      <c r="SC43" s="90">
        <f t="shared" si="292"/>
        <v>2008.0610847447986</v>
      </c>
      <c r="SD43" s="90">
        <f t="shared" si="293"/>
        <v>2008.0610847447988</v>
      </c>
      <c r="SE43" s="90">
        <f t="shared" si="294"/>
        <v>2038.1793571602818</v>
      </c>
      <c r="SF43" s="90">
        <f t="shared" si="295"/>
        <v>2007.9755820600924</v>
      </c>
      <c r="SG43" s="90">
        <f t="shared" si="296"/>
        <v>8.5502684706170839E-2</v>
      </c>
      <c r="SH43" s="90">
        <f t="shared" si="297"/>
        <v>2008.0915949029722</v>
      </c>
      <c r="SI43" s="90">
        <f t="shared" si="298"/>
        <v>3.5515760253710629</v>
      </c>
      <c r="SJ43" s="90">
        <f t="shared" si="299"/>
        <v>3.551424800247776</v>
      </c>
      <c r="SK43" s="90"/>
      <c r="SL43" s="90"/>
      <c r="SM43" s="90"/>
      <c r="SN43" s="90">
        <f t="shared" si="300"/>
        <v>2149.7000000000003</v>
      </c>
      <c r="SO43" s="90" t="e">
        <f>RU43-#REF!-#REF!-HZ43-LT43-LZ43-MF43-ML43-QL43-QN43-SD43</f>
        <v>#REF!</v>
      </c>
      <c r="SP43" s="90">
        <f t="shared" si="301"/>
        <v>2104.3200000000002</v>
      </c>
      <c r="SQ43" s="90">
        <f t="shared" si="302"/>
        <v>2216.37</v>
      </c>
      <c r="SR43" s="90">
        <f t="shared" si="303"/>
        <v>3.7218252564556069</v>
      </c>
      <c r="SS43" s="90">
        <f t="shared" si="304"/>
        <v>3.9200035373187125</v>
      </c>
      <c r="ST43" s="90">
        <f t="shared" si="305"/>
        <v>2224.9079999999999</v>
      </c>
      <c r="SU43" s="90">
        <v>3.7218252564556069</v>
      </c>
      <c r="SV43" s="90">
        <f t="shared" si="306"/>
        <v>3.94</v>
      </c>
      <c r="SW43" s="90">
        <v>3.92</v>
      </c>
      <c r="SX43" s="90">
        <f t="shared" si="307"/>
        <v>2216.37</v>
      </c>
      <c r="SY43" s="90">
        <v>3.7216961130742057</v>
      </c>
      <c r="SZ43" s="90">
        <f t="shared" si="308"/>
        <v>2104.2469823321558</v>
      </c>
      <c r="TA43" s="90">
        <f t="shared" si="309"/>
        <v>-7.3017667844396783E-2</v>
      </c>
      <c r="TB43" s="90">
        <v>0</v>
      </c>
      <c r="TC43" s="90">
        <f t="shared" si="310"/>
        <v>3101.053699999999</v>
      </c>
      <c r="TD43" s="90" t="e">
        <f>#REF!+#REF!</f>
        <v>#REF!</v>
      </c>
      <c r="TE43" s="90" t="e">
        <f t="shared" si="311"/>
        <v>#REF!</v>
      </c>
      <c r="TF43" s="90">
        <v>3119.2736999999993</v>
      </c>
      <c r="TG43" s="90">
        <f t="shared" si="312"/>
        <v>37.618022226395183</v>
      </c>
      <c r="TH43" s="95"/>
      <c r="TI43" s="95"/>
      <c r="TJ43" s="95"/>
      <c r="TK43" s="95"/>
      <c r="TL43" s="95"/>
      <c r="TM43" s="95">
        <f t="shared" si="313"/>
        <v>0</v>
      </c>
      <c r="TN43" s="95">
        <f t="shared" si="314"/>
        <v>8243.5319999999992</v>
      </c>
      <c r="TO43" s="95">
        <f t="shared" si="315"/>
        <v>37.618022226395183</v>
      </c>
      <c r="TP43" s="95"/>
      <c r="TQ43" s="95">
        <f t="shared" si="316"/>
        <v>14.579999999999998</v>
      </c>
      <c r="TR43" s="95"/>
      <c r="TS43" s="95"/>
      <c r="TT43" s="95"/>
      <c r="TU43" s="95"/>
      <c r="TV43" s="95"/>
      <c r="TW43" s="95"/>
      <c r="TX43" s="95"/>
      <c r="TY43" s="95"/>
      <c r="TZ43" s="95">
        <f t="shared" si="317"/>
        <v>2.5</v>
      </c>
      <c r="UA43" s="95">
        <f t="shared" si="318"/>
        <v>0.64151999999999998</v>
      </c>
      <c r="UB43" s="90">
        <v>0</v>
      </c>
      <c r="UC43" s="90">
        <f t="shared" si="319"/>
        <v>0</v>
      </c>
      <c r="UD43" s="90">
        <f t="shared" si="320"/>
        <v>0</v>
      </c>
      <c r="UE43" s="90">
        <f t="shared" si="321"/>
        <v>0</v>
      </c>
      <c r="UF43" s="90">
        <f t="shared" si="322"/>
        <v>8243.5319999999992</v>
      </c>
      <c r="UG43" s="91">
        <f t="shared" si="323"/>
        <v>0</v>
      </c>
      <c r="UH43" s="95">
        <f t="shared" si="324"/>
        <v>37.618022226395183</v>
      </c>
      <c r="UI43" s="95">
        <f t="shared" si="325"/>
        <v>8243.5319999999992</v>
      </c>
      <c r="UJ43" s="101">
        <f t="shared" si="326"/>
        <v>0</v>
      </c>
      <c r="UK43" s="101">
        <f t="shared" si="327"/>
        <v>37.618022226395183</v>
      </c>
      <c r="UL43" s="90" t="e">
        <f>(#REF!+#REF!+HZ43+LT43+LZ43+MF43+ML43+QL43+QN43+SN43+TC43+TM43+UC43)/I43</f>
        <v>#REF!</v>
      </c>
      <c r="UN43" s="90" t="e">
        <f>#REF!/I43</f>
        <v>#REF!</v>
      </c>
      <c r="UO43" s="90" t="e">
        <f>#REF!/I43</f>
        <v>#REF!</v>
      </c>
      <c r="UP43" s="90">
        <v>1.1499999999999999</v>
      </c>
      <c r="UQ43" s="90" t="e">
        <f t="shared" si="328"/>
        <v>#REF!</v>
      </c>
      <c r="UR43" s="90">
        <f t="shared" si="329"/>
        <v>5494.4</v>
      </c>
      <c r="US43" s="90">
        <f t="shared" si="330"/>
        <v>6893.46</v>
      </c>
      <c r="UT43" s="90">
        <f t="shared" si="331"/>
        <v>6893.46</v>
      </c>
      <c r="UU43" s="90">
        <f t="shared" si="516"/>
        <v>7153.54</v>
      </c>
      <c r="UV43" s="90">
        <f t="shared" si="333"/>
        <v>6893.46</v>
      </c>
      <c r="UW43" s="90">
        <f t="shared" si="334"/>
        <v>5.48</v>
      </c>
      <c r="UX43" s="90">
        <f t="shared" si="335"/>
        <v>3.92</v>
      </c>
      <c r="UY43" s="90">
        <f t="shared" si="336"/>
        <v>3.8020870180403259</v>
      </c>
      <c r="UZ43" s="100">
        <f t="shared" si="337"/>
        <v>3.5515760253710629</v>
      </c>
      <c r="VA43" s="90">
        <f t="shared" si="338"/>
        <v>0</v>
      </c>
      <c r="VB43" s="90">
        <f t="shared" si="339"/>
        <v>1.56</v>
      </c>
      <c r="VC43" s="90">
        <f t="shared" si="340"/>
        <v>0</v>
      </c>
      <c r="VD43" s="90">
        <f t="shared" si="341"/>
        <v>0</v>
      </c>
      <c r="VE43" s="90">
        <f t="shared" si="342"/>
        <v>0</v>
      </c>
      <c r="VF43" s="90">
        <f t="shared" si="343"/>
        <v>0</v>
      </c>
      <c r="VG43" s="90">
        <f t="shared" si="344"/>
        <v>0</v>
      </c>
      <c r="VH43" s="90">
        <f t="shared" si="345"/>
        <v>0</v>
      </c>
      <c r="VI43" s="90">
        <f t="shared" si="346"/>
        <v>0</v>
      </c>
      <c r="VJ43" s="90">
        <f t="shared" si="347"/>
        <v>0</v>
      </c>
      <c r="VK43" s="90">
        <f t="shared" si="348"/>
        <v>0.91</v>
      </c>
      <c r="VL43" s="90">
        <f t="shared" si="349"/>
        <v>3.64</v>
      </c>
      <c r="VM43" s="90">
        <f t="shared" si="350"/>
        <v>5.7</v>
      </c>
      <c r="VN43" s="90">
        <f t="shared" si="351"/>
        <v>0</v>
      </c>
      <c r="VO43" s="90">
        <f t="shared" si="352"/>
        <v>5.7</v>
      </c>
      <c r="VP43" s="97">
        <v>0</v>
      </c>
      <c r="VQ43" s="97">
        <v>5.7</v>
      </c>
      <c r="VR43" s="90">
        <f t="shared" si="353"/>
        <v>0.44</v>
      </c>
      <c r="VS43" s="90">
        <f t="shared" si="354"/>
        <v>0.15</v>
      </c>
      <c r="VT43" s="90">
        <v>0.11989898989898991</v>
      </c>
      <c r="VU43" s="90">
        <f t="shared" si="355"/>
        <v>0.15410000000000001</v>
      </c>
      <c r="VV43" s="90">
        <v>0.38175323599898991</v>
      </c>
      <c r="VW43" s="90">
        <f t="shared" si="356"/>
        <v>0.59</v>
      </c>
      <c r="VX43" s="90">
        <f t="shared" si="357"/>
        <v>15.41</v>
      </c>
      <c r="VY43" s="90">
        <f t="shared" si="358"/>
        <v>15.41</v>
      </c>
      <c r="VZ43" s="90">
        <f t="shared" si="359"/>
        <v>0</v>
      </c>
      <c r="WA43" s="90"/>
      <c r="WB43" s="90">
        <f t="shared" si="360"/>
        <v>15.41</v>
      </c>
      <c r="WC43" s="90">
        <f t="shared" si="361"/>
        <v>0</v>
      </c>
      <c r="WD43" s="90"/>
      <c r="WE43" s="90">
        <v>15.41</v>
      </c>
      <c r="WF43" s="90"/>
      <c r="WG43" s="90">
        <f t="shared" si="362"/>
        <v>8712.8140000000003</v>
      </c>
      <c r="WH43" s="90">
        <f t="shared" si="363"/>
        <v>8712.8140000000003</v>
      </c>
      <c r="WI43" s="90">
        <f t="shared" si="364"/>
        <v>8717.18</v>
      </c>
      <c r="WJ43" s="90">
        <f t="shared" si="365"/>
        <v>5494.4</v>
      </c>
      <c r="WK43" s="97">
        <v>3222.78</v>
      </c>
      <c r="WL43" s="97">
        <v>5.7</v>
      </c>
      <c r="WM43" s="90">
        <f t="shared" si="366"/>
        <v>3222.78</v>
      </c>
      <c r="WN43" s="90">
        <f t="shared" si="367"/>
        <v>5.7</v>
      </c>
      <c r="WO43" s="90"/>
      <c r="WP43" s="97">
        <v>15.41</v>
      </c>
      <c r="WQ43" s="90">
        <f t="shared" si="368"/>
        <v>15.41</v>
      </c>
      <c r="WR43" s="91">
        <f t="shared" si="369"/>
        <v>105.69272976680386</v>
      </c>
      <c r="WS43" s="91">
        <f t="shared" si="370"/>
        <v>136.61347517730499</v>
      </c>
      <c r="WT43" s="90">
        <f t="shared" si="371"/>
        <v>8712.81</v>
      </c>
      <c r="WU43" s="90">
        <f t="shared" si="372"/>
        <v>8717.18</v>
      </c>
      <c r="WV43" s="90">
        <f t="shared" si="373"/>
        <v>-4.3700000000008004</v>
      </c>
      <c r="WW43" s="90">
        <v>3.3</v>
      </c>
      <c r="WX43" s="90"/>
      <c r="WY43" s="90"/>
      <c r="WZ43" s="90">
        <f t="shared" si="374"/>
        <v>5.6720434343434336</v>
      </c>
      <c r="XA43" s="90">
        <v>0</v>
      </c>
      <c r="XB43" s="90">
        <f t="shared" si="375"/>
        <v>5.6720434343434336</v>
      </c>
      <c r="XC43" s="90">
        <f t="shared" si="376"/>
        <v>0.46229999999999999</v>
      </c>
      <c r="XD43" s="90">
        <f t="shared" si="377"/>
        <v>0.15565656565656566</v>
      </c>
      <c r="XE43" s="90"/>
      <c r="XF43" s="90">
        <f t="shared" si="378"/>
        <v>15.41</v>
      </c>
      <c r="XG43" s="90">
        <v>5.5169326140785273</v>
      </c>
      <c r="XH43" s="20">
        <v>14.579999999999998</v>
      </c>
      <c r="XI43" s="20">
        <v>0</v>
      </c>
      <c r="XJ43" s="20"/>
      <c r="XK43" s="20"/>
      <c r="XL43" s="20"/>
      <c r="XM43" s="20">
        <f t="shared" si="379"/>
        <v>14.579999999999998</v>
      </c>
      <c r="XN43" s="91">
        <f t="shared" si="380"/>
        <v>105.69272976680386</v>
      </c>
      <c r="XO43" s="20">
        <f t="shared" si="381"/>
        <v>14.579999999999998</v>
      </c>
      <c r="XP43" s="90">
        <f t="shared" si="382"/>
        <v>11.279999999999998</v>
      </c>
      <c r="XQ43" s="91">
        <f t="shared" si="383"/>
        <v>105.69272976680386</v>
      </c>
      <c r="XR43" s="102"/>
      <c r="XS43" s="90">
        <f t="shared" si="384"/>
        <v>3.64</v>
      </c>
      <c r="XT43" s="90">
        <f t="shared" si="385"/>
        <v>5.48</v>
      </c>
      <c r="XU43" s="90">
        <f t="shared" si="386"/>
        <v>3.92</v>
      </c>
      <c r="XV43" s="90">
        <f t="shared" si="387"/>
        <v>0</v>
      </c>
      <c r="XW43" s="90">
        <f t="shared" si="388"/>
        <v>0</v>
      </c>
      <c r="XX43" s="90">
        <f t="shared" si="389"/>
        <v>0</v>
      </c>
      <c r="XY43" s="90">
        <f t="shared" si="390"/>
        <v>1.56</v>
      </c>
      <c r="XZ43" s="90">
        <f t="shared" si="391"/>
        <v>0</v>
      </c>
      <c r="YA43" s="90">
        <f t="shared" si="392"/>
        <v>0</v>
      </c>
      <c r="YB43" s="90">
        <f t="shared" si="552"/>
        <v>0</v>
      </c>
      <c r="YC43" s="90">
        <f t="shared" si="552"/>
        <v>0</v>
      </c>
      <c r="YD43" s="90">
        <f t="shared" si="394"/>
        <v>1.56</v>
      </c>
      <c r="YE43" s="90">
        <f t="shared" si="395"/>
        <v>5.7</v>
      </c>
      <c r="YF43" s="90">
        <f t="shared" si="396"/>
        <v>0.59</v>
      </c>
      <c r="YG43" s="90">
        <f t="shared" si="397"/>
        <v>15.41</v>
      </c>
      <c r="YI43" s="103" t="s">
        <v>529</v>
      </c>
      <c r="YK43" s="90">
        <f t="shared" si="398"/>
        <v>1.07</v>
      </c>
      <c r="YL43" s="90">
        <f t="shared" si="553"/>
        <v>0</v>
      </c>
      <c r="YM43" s="90">
        <f t="shared" si="553"/>
        <v>1.56</v>
      </c>
      <c r="YN43" s="90">
        <f t="shared" si="400"/>
        <v>3.64</v>
      </c>
      <c r="YO43" s="90">
        <f t="shared" si="401"/>
        <v>9.14</v>
      </c>
      <c r="YP43" s="90">
        <f t="shared" si="402"/>
        <v>0</v>
      </c>
      <c r="YQ43" s="90">
        <f t="shared" si="403"/>
        <v>15.41</v>
      </c>
      <c r="YR43" s="90">
        <f t="shared" si="404"/>
        <v>0</v>
      </c>
      <c r="YS43" s="104">
        <f t="shared" si="405"/>
        <v>15.41</v>
      </c>
      <c r="YT43" s="104">
        <f t="shared" si="406"/>
        <v>0</v>
      </c>
      <c r="YY43" s="90">
        <f t="shared" si="407"/>
        <v>7.31</v>
      </c>
      <c r="YZ43" s="90">
        <f t="shared" si="408"/>
        <v>4.18</v>
      </c>
      <c r="ZA43" s="90">
        <f t="shared" si="409"/>
        <v>0</v>
      </c>
      <c r="ZB43" s="90">
        <f t="shared" si="410"/>
        <v>3.13</v>
      </c>
      <c r="ZC43" s="90">
        <f t="shared" si="411"/>
        <v>0</v>
      </c>
      <c r="ZD43" s="90">
        <f t="shared" si="412"/>
        <v>0</v>
      </c>
      <c r="ZE43" s="90">
        <f t="shared" si="413"/>
        <v>0</v>
      </c>
      <c r="ZF43" s="90">
        <f t="shared" si="414"/>
        <v>0</v>
      </c>
      <c r="ZG43" s="90">
        <f t="shared" si="415"/>
        <v>0</v>
      </c>
      <c r="ZH43" s="90">
        <f t="shared" si="416"/>
        <v>0</v>
      </c>
      <c r="ZI43" s="90">
        <f t="shared" si="417"/>
        <v>0</v>
      </c>
      <c r="ZJ43" s="90">
        <f t="shared" si="418"/>
        <v>0</v>
      </c>
      <c r="ZK43" s="90">
        <f t="shared" si="419"/>
        <v>0</v>
      </c>
      <c r="ZL43" s="90">
        <f t="shared" si="420"/>
        <v>0.02</v>
      </c>
      <c r="ZM43" s="90">
        <f t="shared" si="421"/>
        <v>4.1100000000000003</v>
      </c>
      <c r="ZN43" s="90">
        <f t="shared" si="422"/>
        <v>10.29</v>
      </c>
      <c r="ZO43" s="90">
        <f t="shared" si="423"/>
        <v>7.26</v>
      </c>
      <c r="ZP43" s="90">
        <f t="shared" si="424"/>
        <v>7.16</v>
      </c>
      <c r="ZQ43" s="90">
        <f t="shared" si="425"/>
        <v>0</v>
      </c>
      <c r="ZR43" s="90">
        <f t="shared" si="426"/>
        <v>7.16</v>
      </c>
      <c r="ZS43" s="97">
        <v>227</v>
      </c>
      <c r="ZT43" s="97">
        <v>230.38</v>
      </c>
      <c r="ZU43" s="90">
        <f t="shared" si="427"/>
        <v>0.56999999999999995</v>
      </c>
      <c r="ZV43" s="90">
        <f t="shared" si="428"/>
        <v>0.2</v>
      </c>
      <c r="ZW43" s="90">
        <v>0.11989898989898991</v>
      </c>
      <c r="ZX43" s="90">
        <f t="shared" si="429"/>
        <v>0.19349999999999998</v>
      </c>
      <c r="ZY43" s="90">
        <v>0.38175323599898991</v>
      </c>
      <c r="ZZ43" s="90">
        <f t="shared" si="430"/>
        <v>0.77</v>
      </c>
      <c r="AAA43" s="90">
        <f t="shared" si="431"/>
        <v>19.349999999999998</v>
      </c>
      <c r="AAB43" s="90">
        <f t="shared" si="432"/>
        <v>19.349999999999998</v>
      </c>
      <c r="AAC43" s="90">
        <f t="shared" si="433"/>
        <v>0</v>
      </c>
      <c r="AAD43" s="90"/>
      <c r="AAE43" s="90">
        <f t="shared" si="434"/>
        <v>19.349999999999998</v>
      </c>
      <c r="AAF43" s="90">
        <v>15.41</v>
      </c>
      <c r="AAG43" s="90">
        <f t="shared" si="435"/>
        <v>125.56781310837117</v>
      </c>
      <c r="AAH43" s="90">
        <f t="shared" si="436"/>
        <v>0</v>
      </c>
      <c r="AAI43" s="90">
        <v>0</v>
      </c>
      <c r="AAJ43" s="90"/>
      <c r="AAK43" s="1">
        <v>19.149999999999999</v>
      </c>
      <c r="AAL43" s="104">
        <f t="shared" si="437"/>
        <v>0.19999999999999929</v>
      </c>
      <c r="AAM43" s="103" t="s">
        <v>530</v>
      </c>
      <c r="AAN43" s="105">
        <v>7.34</v>
      </c>
      <c r="AAO43" s="90">
        <f t="shared" si="438"/>
        <v>7.77</v>
      </c>
      <c r="AAP43" s="90">
        <v>4.21</v>
      </c>
      <c r="AAQ43" s="90">
        <f t="shared" si="439"/>
        <v>4.18</v>
      </c>
      <c r="AAR43" s="90">
        <v>0</v>
      </c>
      <c r="AAS43" s="90">
        <f t="shared" si="440"/>
        <v>0</v>
      </c>
      <c r="AAT43" s="90"/>
      <c r="AAU43" s="90">
        <v>3.13</v>
      </c>
      <c r="AAV43" s="90">
        <f t="shared" si="442"/>
        <v>3.13</v>
      </c>
      <c r="AAW43" s="90">
        <f t="shared" si="443"/>
        <v>100</v>
      </c>
      <c r="AAX43" s="90">
        <f t="shared" si="444"/>
        <v>0.46</v>
      </c>
      <c r="AAY43" s="90">
        <f t="shared" si="445"/>
        <v>0</v>
      </c>
      <c r="AAZ43" s="90">
        <f t="shared" si="446"/>
        <v>0</v>
      </c>
      <c r="ABA43" s="90">
        <f t="shared" si="447"/>
        <v>0</v>
      </c>
      <c r="ABB43" s="90">
        <f t="shared" si="448"/>
        <v>0</v>
      </c>
      <c r="ABC43" s="90">
        <v>0</v>
      </c>
      <c r="ABD43" s="90">
        <f t="shared" si="449"/>
        <v>0</v>
      </c>
      <c r="ABE43" s="90"/>
      <c r="ABF43" s="90">
        <v>0</v>
      </c>
      <c r="ABG43" s="90">
        <f t="shared" si="450"/>
        <v>0</v>
      </c>
      <c r="ABH43" s="90"/>
      <c r="ABI43" s="90">
        <f t="shared" si="451"/>
        <v>0</v>
      </c>
      <c r="ABJ43" s="90">
        <f t="shared" si="452"/>
        <v>0</v>
      </c>
      <c r="ABK43" s="90">
        <v>0</v>
      </c>
      <c r="ABL43" s="90">
        <f t="shared" si="453"/>
        <v>0</v>
      </c>
      <c r="ABM43" s="90">
        <f t="shared" si="454"/>
        <v>0</v>
      </c>
      <c r="ABN43" s="90">
        <f t="shared" si="455"/>
        <v>0.02</v>
      </c>
      <c r="ABO43" s="90">
        <v>3.91</v>
      </c>
      <c r="ABP43" s="90">
        <f t="shared" si="456"/>
        <v>4.1100000000000003</v>
      </c>
      <c r="ABQ43" s="90">
        <f t="shared" si="457"/>
        <v>105.1150895140665</v>
      </c>
      <c r="ABR43" s="90">
        <f t="shared" si="458"/>
        <v>10.29</v>
      </c>
      <c r="ABS43" s="90">
        <f t="shared" si="459"/>
        <v>7.26</v>
      </c>
      <c r="ABT43" s="90">
        <v>7.16</v>
      </c>
      <c r="ABU43" s="90">
        <f t="shared" si="460"/>
        <v>7.16</v>
      </c>
      <c r="ABV43" s="90">
        <f t="shared" si="461"/>
        <v>100</v>
      </c>
      <c r="ABW43" s="90">
        <f t="shared" si="462"/>
        <v>0</v>
      </c>
      <c r="ABX43" s="90">
        <f t="shared" si="463"/>
        <v>7.16</v>
      </c>
      <c r="ABY43" s="97">
        <v>227</v>
      </c>
      <c r="ABZ43" s="97">
        <v>230.38</v>
      </c>
      <c r="ACA43" s="90">
        <f t="shared" si="464"/>
        <v>0.56999999999999995</v>
      </c>
      <c r="ACB43" s="90">
        <f t="shared" si="465"/>
        <v>0.2</v>
      </c>
      <c r="ACC43" s="90">
        <v>0.11989898989898991</v>
      </c>
      <c r="ACD43" s="90">
        <f t="shared" si="466"/>
        <v>0.19349999999999998</v>
      </c>
      <c r="ACE43" s="90">
        <v>0.38175323599898991</v>
      </c>
      <c r="ACF43" s="90">
        <v>0.74</v>
      </c>
      <c r="ACG43" s="90">
        <f t="shared" si="467"/>
        <v>0.77</v>
      </c>
      <c r="ACH43" s="90">
        <f t="shared" si="468"/>
        <v>104.05405405405406</v>
      </c>
      <c r="ACI43" s="90">
        <f t="shared" si="469"/>
        <v>19.809999999999999</v>
      </c>
      <c r="ACJ43" s="90">
        <f t="shared" si="470"/>
        <v>19.349999999999998</v>
      </c>
      <c r="ACK43" s="90">
        <f t="shared" si="471"/>
        <v>-0.46000000000000085</v>
      </c>
      <c r="ACL43" s="90"/>
      <c r="ACM43" s="90">
        <f t="shared" si="472"/>
        <v>19.809999999999999</v>
      </c>
      <c r="ACN43" s="90">
        <f t="shared" si="473"/>
        <v>0</v>
      </c>
      <c r="ACO43" s="90">
        <f t="shared" si="474"/>
        <v>19.809999999999999</v>
      </c>
      <c r="ACP43" s="90">
        <v>19.149999999999999</v>
      </c>
      <c r="ACQ43" s="90">
        <f t="shared" si="475"/>
        <v>103.44647519582246</v>
      </c>
      <c r="ACR43" s="90">
        <f t="shared" si="476"/>
        <v>0</v>
      </c>
      <c r="ACS43" s="90">
        <v>0</v>
      </c>
      <c r="ACT43" s="90"/>
      <c r="ACU43" s="90">
        <f t="shared" si="477"/>
        <v>20.126649999999998</v>
      </c>
      <c r="ACV43" s="90">
        <f t="shared" si="478"/>
        <v>0.31664999999999921</v>
      </c>
      <c r="ACX43" s="106" t="s">
        <v>454</v>
      </c>
      <c r="ACY43" s="107"/>
      <c r="ACZ43" s="107">
        <v>130000</v>
      </c>
      <c r="ADB43" s="90">
        <f t="shared" si="479"/>
        <v>4.1100000000000003</v>
      </c>
      <c r="ADC43" s="90">
        <f t="shared" si="480"/>
        <v>7.77</v>
      </c>
      <c r="ADD43" s="90">
        <f t="shared" si="481"/>
        <v>4.18</v>
      </c>
      <c r="ADE43" s="90">
        <f t="shared" si="517"/>
        <v>0.46</v>
      </c>
      <c r="ADF43" s="90">
        <f t="shared" si="483"/>
        <v>0</v>
      </c>
      <c r="ADG43" s="90">
        <f t="shared" si="554"/>
        <v>0.46</v>
      </c>
      <c r="ADH43" s="90">
        <f t="shared" si="554"/>
        <v>0</v>
      </c>
      <c r="ADI43" s="90">
        <f t="shared" si="554"/>
        <v>0</v>
      </c>
      <c r="ADJ43" s="90">
        <f t="shared" si="485"/>
        <v>3.13</v>
      </c>
      <c r="ADK43" s="90">
        <f t="shared" si="486"/>
        <v>0</v>
      </c>
      <c r="ADL43" s="90">
        <f t="shared" si="487"/>
        <v>0</v>
      </c>
      <c r="ADM43" s="90">
        <f t="shared" si="555"/>
        <v>0</v>
      </c>
      <c r="ADN43" s="90">
        <f t="shared" si="555"/>
        <v>0</v>
      </c>
      <c r="ADO43" s="90">
        <f t="shared" si="489"/>
        <v>3.13</v>
      </c>
      <c r="ADP43" s="90">
        <f t="shared" si="490"/>
        <v>7.16</v>
      </c>
      <c r="ADQ43" s="90">
        <f t="shared" si="491"/>
        <v>0.77</v>
      </c>
      <c r="ADR43" s="90">
        <f t="shared" si="492"/>
        <v>19.809999999999999</v>
      </c>
      <c r="ADU43" s="90">
        <f t="shared" si="493"/>
        <v>1.1499999999999999</v>
      </c>
      <c r="ADV43" s="90">
        <f t="shared" si="494"/>
        <v>0</v>
      </c>
      <c r="ADW43" s="90">
        <f t="shared" si="495"/>
        <v>3.13</v>
      </c>
      <c r="ADX43" s="90">
        <f t="shared" si="496"/>
        <v>4.1100000000000003</v>
      </c>
      <c r="ADY43" s="90">
        <f t="shared" si="497"/>
        <v>10.959999999999999</v>
      </c>
      <c r="ADZ43" s="90">
        <f t="shared" si="498"/>
        <v>0</v>
      </c>
      <c r="AEA43" s="90">
        <f t="shared" si="499"/>
        <v>19.809999999999999</v>
      </c>
      <c r="AEB43" s="90">
        <f t="shared" si="500"/>
        <v>0</v>
      </c>
      <c r="AEC43" s="104">
        <f t="shared" si="501"/>
        <v>19.350000000000001</v>
      </c>
      <c r="AED43" s="104">
        <f t="shared" si="502"/>
        <v>0.4599999999999973</v>
      </c>
      <c r="AEG43" s="1">
        <v>7.34</v>
      </c>
      <c r="AEH43" s="1">
        <v>4.21</v>
      </c>
      <c r="AEI43" s="1">
        <v>0</v>
      </c>
      <c r="AEJ43" s="1">
        <v>3.13</v>
      </c>
      <c r="AEK43" s="1">
        <v>0</v>
      </c>
      <c r="AEL43" s="1">
        <v>0</v>
      </c>
      <c r="AEM43" s="1">
        <v>0</v>
      </c>
      <c r="AEN43" s="1">
        <v>0</v>
      </c>
      <c r="AEO43" s="1">
        <v>0</v>
      </c>
      <c r="AEP43" s="1">
        <v>0</v>
      </c>
      <c r="AEQ43" s="1">
        <v>0</v>
      </c>
      <c r="AER43" s="1">
        <v>0</v>
      </c>
      <c r="AES43" s="1">
        <v>0</v>
      </c>
      <c r="AET43" s="1">
        <v>0</v>
      </c>
      <c r="AEU43" s="1">
        <v>0</v>
      </c>
      <c r="AEV43" s="1">
        <v>0.02</v>
      </c>
      <c r="AEW43" s="1">
        <v>3.91</v>
      </c>
      <c r="AEX43" s="1">
        <v>10.29</v>
      </c>
      <c r="AEY43" s="1">
        <v>7.26</v>
      </c>
      <c r="AEZ43" s="1">
        <v>7.16</v>
      </c>
      <c r="AFA43" s="1">
        <v>0</v>
      </c>
      <c r="AFB43" s="1">
        <v>7.16</v>
      </c>
      <c r="AFC43" s="1">
        <v>227</v>
      </c>
      <c r="AFD43" s="1">
        <v>230.38</v>
      </c>
      <c r="AFE43" s="1">
        <v>0.55000000000000004</v>
      </c>
      <c r="AFF43" s="1">
        <v>0.19</v>
      </c>
      <c r="AFG43" s="1">
        <v>0.11989898989898991</v>
      </c>
      <c r="AFH43" s="1">
        <v>0.1915</v>
      </c>
      <c r="AFI43" s="1">
        <v>0.38175323599898991</v>
      </c>
      <c r="AFJ43" s="1">
        <v>0.74</v>
      </c>
      <c r="AFK43" s="1">
        <v>19.149999999999999</v>
      </c>
      <c r="AFL43" s="1">
        <v>19.149999999999999</v>
      </c>
      <c r="AFM43" s="1">
        <v>0</v>
      </c>
      <c r="AFO43" s="1">
        <v>19.149999999999999</v>
      </c>
      <c r="AFP43" s="1">
        <v>0</v>
      </c>
      <c r="AFQ43" s="1">
        <v>19.149999999999999</v>
      </c>
      <c r="AFX43" s="1">
        <v>19.809999999999999</v>
      </c>
    </row>
    <row r="44" spans="1:856" s="1" customFormat="1" ht="63.75" customHeight="1">
      <c r="A44" s="88">
        <v>36</v>
      </c>
      <c r="B44" s="20"/>
      <c r="C44" s="89" t="s">
        <v>531</v>
      </c>
      <c r="D44" s="20"/>
      <c r="E44" s="20" t="s">
        <v>437</v>
      </c>
      <c r="F44" s="20" t="s">
        <v>438</v>
      </c>
      <c r="G44" s="20">
        <v>0.8</v>
      </c>
      <c r="H44" s="20">
        <v>556.1</v>
      </c>
      <c r="I44" s="20">
        <f>556.1-0.3+0.8</f>
        <v>556.6</v>
      </c>
      <c r="J44" s="20">
        <f t="shared" si="0"/>
        <v>445.28000000000003</v>
      </c>
      <c r="K44" s="20">
        <v>12</v>
      </c>
      <c r="L44" s="20"/>
      <c r="M44" s="20"/>
      <c r="N44" s="20"/>
      <c r="O44" s="90">
        <f t="shared" si="1"/>
        <v>0</v>
      </c>
      <c r="P44" s="20"/>
      <c r="Q44" s="20"/>
      <c r="R44" s="90">
        <f t="shared" si="2"/>
        <v>0</v>
      </c>
      <c r="S44" s="20">
        <v>57</v>
      </c>
      <c r="T44" s="20">
        <v>2.6</v>
      </c>
      <c r="U44" s="20">
        <v>3.13</v>
      </c>
      <c r="V44" s="91">
        <f t="shared" si="3"/>
        <v>463.87</v>
      </c>
      <c r="W44" s="20">
        <v>2.1000000000000001E-2</v>
      </c>
      <c r="X44" s="20">
        <f t="shared" si="4"/>
        <v>33.42</v>
      </c>
      <c r="Y44" s="91">
        <f t="shared" si="5"/>
        <v>40</v>
      </c>
      <c r="Z44" s="20"/>
      <c r="AA44" s="20"/>
      <c r="AB44" s="20"/>
      <c r="AC44" s="91">
        <f t="shared" si="6"/>
        <v>503.87</v>
      </c>
      <c r="AD44" s="90">
        <f t="shared" si="7"/>
        <v>0.91</v>
      </c>
      <c r="AE44" s="92">
        <f t="shared" si="8"/>
        <v>6046.4400000000005</v>
      </c>
      <c r="AF44" s="20">
        <v>26</v>
      </c>
      <c r="AG44" s="20">
        <v>25</v>
      </c>
      <c r="AH44" s="20">
        <v>25</v>
      </c>
      <c r="AI44" s="20">
        <v>19</v>
      </c>
      <c r="AJ44" s="20">
        <v>1.6</v>
      </c>
      <c r="AK44" s="90">
        <f t="shared" si="9"/>
        <v>3.33</v>
      </c>
      <c r="AL44" s="90">
        <v>391.01</v>
      </c>
      <c r="AM44" s="90">
        <f t="shared" si="10"/>
        <v>1302.06</v>
      </c>
      <c r="AN44" s="20">
        <v>24</v>
      </c>
      <c r="AO44" s="20">
        <v>24</v>
      </c>
      <c r="AP44" s="20">
        <v>26</v>
      </c>
      <c r="AQ44" s="20">
        <v>24</v>
      </c>
      <c r="AR44" s="20">
        <v>24</v>
      </c>
      <c r="AS44" s="20">
        <v>25</v>
      </c>
      <c r="AT44" s="20">
        <f t="shared" si="11"/>
        <v>1</v>
      </c>
      <c r="AU44" s="20">
        <v>1.6</v>
      </c>
      <c r="AV44" s="90">
        <f t="shared" si="12"/>
        <v>3.47</v>
      </c>
      <c r="AW44" s="90">
        <f t="shared" si="551"/>
        <v>188.88</v>
      </c>
      <c r="AX44" s="90">
        <v>629.6</v>
      </c>
      <c r="AY44" s="90">
        <f t="shared" si="14"/>
        <v>1.1299999999999999</v>
      </c>
      <c r="AZ44" s="90">
        <f t="shared" si="15"/>
        <v>1355.5</v>
      </c>
      <c r="BA44" s="90">
        <f t="shared" si="16"/>
        <v>-725.9</v>
      </c>
      <c r="BB44" s="90">
        <v>629.6</v>
      </c>
      <c r="BC44" s="90">
        <v>1.1299999999999999</v>
      </c>
      <c r="BD44" s="92">
        <f t="shared" si="17"/>
        <v>7555.2000000000007</v>
      </c>
      <c r="BE44" s="90"/>
      <c r="BF44" s="90">
        <f t="shared" si="18"/>
        <v>0</v>
      </c>
      <c r="BG44" s="90">
        <v>391.01</v>
      </c>
      <c r="BH44" s="90">
        <f t="shared" si="19"/>
        <v>1356.8</v>
      </c>
      <c r="BI44" s="90">
        <f t="shared" si="20"/>
        <v>2.44</v>
      </c>
      <c r="BJ44" s="90">
        <f t="shared" si="21"/>
        <v>215.92920353982302</v>
      </c>
      <c r="BK44" s="90">
        <f t="shared" si="22"/>
        <v>1356.8</v>
      </c>
      <c r="BL44" s="90">
        <f t="shared" si="23"/>
        <v>2.44</v>
      </c>
      <c r="BM44" s="90"/>
      <c r="BN44" s="90">
        <f t="shared" si="24"/>
        <v>0</v>
      </c>
      <c r="BO44" s="90">
        <f t="shared" si="25"/>
        <v>1356.8</v>
      </c>
      <c r="BP44" s="90">
        <f t="shared" si="26"/>
        <v>2.4376572044556233</v>
      </c>
      <c r="BQ44" s="90"/>
      <c r="BR44" s="90">
        <f t="shared" si="27"/>
        <v>0</v>
      </c>
      <c r="BS44" s="90">
        <f t="shared" si="28"/>
        <v>1356.8</v>
      </c>
      <c r="BT44" s="90">
        <f t="shared" si="29"/>
        <v>2.4376572044556233</v>
      </c>
      <c r="BU44" s="90"/>
      <c r="BV44" s="93">
        <v>0.82054380000000005</v>
      </c>
      <c r="BW44" s="90">
        <f t="shared" si="30"/>
        <v>456.71467908000005</v>
      </c>
      <c r="BX44" s="90">
        <f t="shared" si="31"/>
        <v>484.11755982480008</v>
      </c>
      <c r="BY44" s="90"/>
      <c r="BZ44" s="90"/>
      <c r="CA44" s="90">
        <v>0.26506960299999999</v>
      </c>
      <c r="CB44" s="90">
        <f t="shared" si="556"/>
        <v>147.5377410298</v>
      </c>
      <c r="CC44" s="90">
        <v>0.71072749999999996</v>
      </c>
      <c r="CD44" s="90">
        <f t="shared" si="33"/>
        <v>104.85912983775718</v>
      </c>
      <c r="CE44" s="90">
        <f t="shared" si="34"/>
        <v>158.56018836405482</v>
      </c>
      <c r="CF44" s="90">
        <v>154.57033085332031</v>
      </c>
      <c r="CG44" s="90">
        <f>I44*0.2781042</f>
        <v>154.79279772000001</v>
      </c>
      <c r="CH44" s="90">
        <f t="shared" si="35"/>
        <v>162.22</v>
      </c>
      <c r="CI44" s="90">
        <f t="shared" si="524"/>
        <v>170.24755625831119</v>
      </c>
      <c r="CJ44" s="90">
        <f t="shared" si="36"/>
        <v>171.14</v>
      </c>
      <c r="CK44" s="90">
        <f t="shared" si="37"/>
        <v>181.00047634484716</v>
      </c>
      <c r="CL44" s="90">
        <f t="shared" si="38"/>
        <v>181.00047634484716</v>
      </c>
      <c r="CM44" s="94">
        <v>0.14899999999999999</v>
      </c>
      <c r="CN44" s="90">
        <f t="shared" si="39"/>
        <v>68.050487182920008</v>
      </c>
      <c r="CO44" s="90">
        <f t="shared" si="40"/>
        <v>72.133516413895208</v>
      </c>
      <c r="CP44" s="90"/>
      <c r="CQ44" s="90">
        <v>3.9539249999999998E-2</v>
      </c>
      <c r="CR44" s="90">
        <f t="shared" si="557"/>
        <v>22.007546550000001</v>
      </c>
      <c r="CS44" s="90">
        <v>0.71072749999999996</v>
      </c>
      <c r="CT44" s="90">
        <f t="shared" si="42"/>
        <v>15.641368540615124</v>
      </c>
      <c r="CU44" s="90">
        <f t="shared" si="43"/>
        <v>23.651715839229798</v>
      </c>
      <c r="CV44" s="90">
        <f>I44*0.085945</f>
        <v>47.836987000000001</v>
      </c>
      <c r="CW44" s="90">
        <f t="shared" si="44"/>
        <v>50.13</v>
      </c>
      <c r="CX44" s="90">
        <f t="shared" si="525"/>
        <v>52.610713815985335</v>
      </c>
      <c r="CY44" s="90">
        <f t="shared" si="45"/>
        <v>52.89</v>
      </c>
      <c r="CZ44" s="90">
        <f t="shared" si="46"/>
        <v>55.933632592572984</v>
      </c>
      <c r="DA44" s="90">
        <f t="shared" si="47"/>
        <v>55.933632592572984</v>
      </c>
      <c r="DB44" s="93">
        <v>0.80939899999999998</v>
      </c>
      <c r="DC44" s="90">
        <f t="shared" si="48"/>
        <v>450.51148340000003</v>
      </c>
      <c r="DD44" s="90">
        <f t="shared" si="49"/>
        <v>477.54217240400004</v>
      </c>
      <c r="DE44" s="90"/>
      <c r="DF44" s="90"/>
      <c r="DG44" s="90">
        <v>0.16261500000000001</v>
      </c>
      <c r="DH44" s="90">
        <f t="shared" si="558"/>
        <v>90.511509000000004</v>
      </c>
      <c r="DI44" s="90">
        <v>0.71072749999999996</v>
      </c>
      <c r="DJ44" s="90">
        <f t="shared" si="51"/>
        <v>64.329018512797504</v>
      </c>
      <c r="DK44" s="90">
        <f t="shared" si="52"/>
        <v>97.273564146926248</v>
      </c>
      <c r="DL44" s="90">
        <f>I44*0.138251</f>
        <v>76.950506600000011</v>
      </c>
      <c r="DM44" s="90">
        <f t="shared" si="53"/>
        <v>80.64</v>
      </c>
      <c r="DN44" s="90">
        <f t="shared" si="526"/>
        <v>84.630519890705315</v>
      </c>
      <c r="DO44" s="90">
        <f t="shared" si="54"/>
        <v>85.08</v>
      </c>
      <c r="DP44" s="90">
        <f t="shared" si="55"/>
        <v>89.975825499004301</v>
      </c>
      <c r="DQ44" s="90">
        <f t="shared" si="56"/>
        <v>89.975825499004301</v>
      </c>
      <c r="DR44" s="93">
        <v>3.1841000000000001E-2</v>
      </c>
      <c r="DS44" s="90">
        <f t="shared" si="57"/>
        <v>17.722700600000003</v>
      </c>
      <c r="DT44" s="90">
        <f t="shared" si="58"/>
        <v>18.786062636000004</v>
      </c>
      <c r="DU44" s="90"/>
      <c r="DV44" s="90">
        <v>6.1506180000000001E-3</v>
      </c>
      <c r="DW44" s="90">
        <f t="shared" si="559"/>
        <v>3.4234339788000003</v>
      </c>
      <c r="DX44" s="90">
        <v>0.71072749999999996</v>
      </c>
      <c r="DY44" s="90">
        <f t="shared" si="60"/>
        <v>2.4331286731675772</v>
      </c>
      <c r="DZ44" s="90">
        <f t="shared" si="61"/>
        <v>3.6791964736724121</v>
      </c>
      <c r="EA44" s="90">
        <f t="shared" si="62"/>
        <v>3.86</v>
      </c>
      <c r="EB44" s="90">
        <f t="shared" si="527"/>
        <v>4.0510144689747332</v>
      </c>
      <c r="EC44" s="90">
        <f t="shared" si="63"/>
        <v>4.07</v>
      </c>
      <c r="ED44" s="90">
        <f t="shared" si="64"/>
        <v>4.3068785519116641</v>
      </c>
      <c r="EE44" s="90">
        <f t="shared" si="65"/>
        <v>4.3068785519116641</v>
      </c>
      <c r="EF44" s="94">
        <v>0.85293354333000004</v>
      </c>
      <c r="EG44" s="90">
        <f t="shared" si="66"/>
        <v>379.79424817398245</v>
      </c>
      <c r="EH44" s="90">
        <f t="shared" si="67"/>
        <v>402.5819030644214</v>
      </c>
      <c r="EI44" s="90"/>
      <c r="EJ44" s="90">
        <v>0.58970610199999995</v>
      </c>
      <c r="EK44" s="90">
        <f t="shared" si="68"/>
        <v>262.58433309856002</v>
      </c>
      <c r="EL44" s="90">
        <v>0.71072749999999996</v>
      </c>
      <c r="EM44" s="90">
        <f t="shared" si="69"/>
        <v>186.6259066023068</v>
      </c>
      <c r="EN44" s="90">
        <f t="shared" si="70"/>
        <v>282.20183545542949</v>
      </c>
      <c r="EO44" s="90">
        <f>J44*0.6180736</f>
        <v>275.21581260800002</v>
      </c>
      <c r="EP44" s="90">
        <f t="shared" si="71"/>
        <v>288.43</v>
      </c>
      <c r="EQ44" s="90">
        <f t="shared" si="528"/>
        <v>302.70313556642031</v>
      </c>
      <c r="ER44" s="90">
        <f t="shared" si="72"/>
        <v>304.29000000000002</v>
      </c>
      <c r="ES44" s="90">
        <f t="shared" si="73"/>
        <v>321.8220157326117</v>
      </c>
      <c r="ET44" s="90">
        <f t="shared" si="74"/>
        <v>321.8220157326117</v>
      </c>
      <c r="EU44" s="94">
        <v>0.14899999999999999</v>
      </c>
      <c r="EV44" s="90">
        <f t="shared" si="75"/>
        <v>56.58934297792338</v>
      </c>
      <c r="EW44" s="90">
        <f t="shared" si="76"/>
        <v>59.984703556598788</v>
      </c>
      <c r="EX44" s="90"/>
      <c r="EY44" s="90">
        <v>8.7874999999999995E-2</v>
      </c>
      <c r="EZ44" s="90">
        <f t="shared" si="77"/>
        <v>39.128979999999999</v>
      </c>
      <c r="FA44" s="90">
        <v>0.71072749999999996</v>
      </c>
      <c r="FB44" s="90">
        <f t="shared" si="78"/>
        <v>27.810042132949999</v>
      </c>
      <c r="FC44" s="90">
        <f t="shared" si="79"/>
        <v>42.052280291048888</v>
      </c>
      <c r="FD44" s="90">
        <f>J44*0.191143</f>
        <v>85.112155040000005</v>
      </c>
      <c r="FE44" s="90">
        <f t="shared" si="80"/>
        <v>89.2</v>
      </c>
      <c r="FF44" s="90">
        <f t="shared" si="529"/>
        <v>93.614116744182951</v>
      </c>
      <c r="FG44" s="90">
        <f t="shared" si="81"/>
        <v>94.11</v>
      </c>
      <c r="FH44" s="90">
        <f t="shared" si="82"/>
        <v>99.526830785108913</v>
      </c>
      <c r="FI44" s="90">
        <f t="shared" si="83"/>
        <v>99.526830785108913</v>
      </c>
      <c r="FJ44" s="93">
        <v>0.49981642240000002</v>
      </c>
      <c r="FK44" s="90">
        <f t="shared" si="84"/>
        <v>222.55825656627204</v>
      </c>
      <c r="FL44" s="90">
        <f t="shared" si="85"/>
        <v>235.91175196024838</v>
      </c>
      <c r="FM44" s="90"/>
      <c r="FN44" s="90">
        <v>0.35816899099999999</v>
      </c>
      <c r="FO44" s="90">
        <f t="shared" si="86"/>
        <v>159.48548831248002</v>
      </c>
      <c r="FP44" s="90">
        <v>0.71072749999999996</v>
      </c>
      <c r="FQ44" s="90">
        <f t="shared" si="87"/>
        <v>113.35072239460813</v>
      </c>
      <c r="FR44" s="90">
        <f t="shared" si="88"/>
        <v>171.40054396693222</v>
      </c>
      <c r="FS44" s="90">
        <f>J44*0.30344</f>
        <v>135.1157632</v>
      </c>
      <c r="FT44" s="90">
        <f t="shared" si="89"/>
        <v>141.6</v>
      </c>
      <c r="FU44" s="90">
        <f>J44*0.303696</f>
        <v>135.22975488000003</v>
      </c>
      <c r="FV44" s="90">
        <f t="shared" si="90"/>
        <v>141.72</v>
      </c>
      <c r="FW44" s="90">
        <f t="shared" si="530"/>
        <v>148.73310117696872</v>
      </c>
      <c r="FX44" s="90">
        <f t="shared" si="91"/>
        <v>149.51</v>
      </c>
      <c r="FY44" s="90">
        <f t="shared" si="92"/>
        <v>158.1271576106013</v>
      </c>
      <c r="FZ44" s="90">
        <f t="shared" si="93"/>
        <v>158.1271576106013</v>
      </c>
      <c r="GA44" s="94">
        <v>1.352261642E-2</v>
      </c>
      <c r="GB44" s="90">
        <f t="shared" si="94"/>
        <v>6.0213506394975997</v>
      </c>
      <c r="GC44" s="90">
        <f t="shared" si="95"/>
        <v>6.3826316778674563</v>
      </c>
      <c r="GD44" s="90"/>
      <c r="GE44" s="90">
        <v>1.0795000000000001E-2</v>
      </c>
      <c r="GF44" s="90">
        <f t="shared" si="96"/>
        <v>4.8067976000000003</v>
      </c>
      <c r="GG44" s="90">
        <v>0.71072749999999996</v>
      </c>
      <c r="GH44" s="90">
        <f t="shared" si="97"/>
        <v>3.4163232412540001</v>
      </c>
      <c r="GI44" s="90">
        <f t="shared" si="98"/>
        <v>5.1659102787126354</v>
      </c>
      <c r="GJ44" s="90">
        <f t="shared" si="99"/>
        <v>5.41</v>
      </c>
      <c r="GK44" s="90">
        <f t="shared" si="531"/>
        <v>5.6777171702469706</v>
      </c>
      <c r="GL44" s="90">
        <f t="shared" si="100"/>
        <v>5.71</v>
      </c>
      <c r="GM44" s="90">
        <f t="shared" si="101"/>
        <v>6.036324602549767</v>
      </c>
      <c r="GN44" s="90">
        <f t="shared" si="102"/>
        <v>6.036324602549767</v>
      </c>
      <c r="GO44" s="90"/>
      <c r="GP44" s="90">
        <f t="shared" si="103"/>
        <v>0</v>
      </c>
      <c r="GQ44" s="90"/>
      <c r="GR44" s="90">
        <f t="shared" si="104"/>
        <v>0</v>
      </c>
      <c r="GS44" s="90">
        <f t="shared" si="105"/>
        <v>0</v>
      </c>
      <c r="GT44" s="90">
        <f t="shared" si="106"/>
        <v>0</v>
      </c>
      <c r="GU44" s="90"/>
      <c r="GV44" s="90"/>
      <c r="GW44" s="90">
        <f t="shared" si="107"/>
        <v>0</v>
      </c>
      <c r="GX44" s="90">
        <f t="shared" si="108"/>
        <v>0</v>
      </c>
      <c r="GY44" s="90"/>
      <c r="GZ44" s="90"/>
      <c r="HA44" s="90">
        <f t="shared" si="109"/>
        <v>0</v>
      </c>
      <c r="HB44" s="90">
        <f t="shared" si="110"/>
        <v>0</v>
      </c>
      <c r="HC44" s="90"/>
      <c r="HD44" s="90"/>
      <c r="HE44" s="90">
        <f t="shared" si="111"/>
        <v>0</v>
      </c>
      <c r="HF44" s="90">
        <f t="shared" si="112"/>
        <v>0</v>
      </c>
      <c r="HG44" s="90"/>
      <c r="HH44" s="90"/>
      <c r="HI44" s="90">
        <v>0.96</v>
      </c>
      <c r="HJ44" s="90">
        <f t="shared" si="113"/>
        <v>534.33600000000001</v>
      </c>
      <c r="HK44" s="90">
        <f t="shared" si="114"/>
        <v>1.0060725835429392</v>
      </c>
      <c r="HL44" s="90">
        <f t="shared" si="115"/>
        <v>559.98</v>
      </c>
      <c r="HM44" s="90">
        <v>1.07</v>
      </c>
      <c r="HN44" s="90">
        <f t="shared" si="116"/>
        <v>595.56200000000001</v>
      </c>
      <c r="HO44" s="90">
        <v>1.1499999999999999</v>
      </c>
      <c r="HP44" s="90">
        <f t="shared" si="117"/>
        <v>640.09</v>
      </c>
      <c r="HQ44" s="90">
        <v>1.1499999999999999</v>
      </c>
      <c r="HR44" s="90">
        <f t="shared" si="118"/>
        <v>640.09</v>
      </c>
      <c r="HS44" s="90">
        <v>0.31922129999999999</v>
      </c>
      <c r="HT44" s="90">
        <f>$I44*HS44</f>
        <v>177.67857558</v>
      </c>
      <c r="HU44" s="90" t="e">
        <f>HT44*#REF!</f>
        <v>#REF!</v>
      </c>
      <c r="HV44" s="20">
        <v>2.5</v>
      </c>
      <c r="HW44" s="90">
        <v>3.1</v>
      </c>
      <c r="HX44" s="90">
        <f t="shared" si="120"/>
        <v>1725.46</v>
      </c>
      <c r="HY44" s="90">
        <v>1.06</v>
      </c>
      <c r="HZ44" s="90">
        <f t="shared" si="121"/>
        <v>1828.9876000000002</v>
      </c>
      <c r="IA44" s="90">
        <f t="shared" si="122"/>
        <v>3.29</v>
      </c>
      <c r="IB44" s="90">
        <f t="shared" si="123"/>
        <v>3.45</v>
      </c>
      <c r="IC44" s="90">
        <f t="shared" si="124"/>
        <v>1920.2700000000002</v>
      </c>
      <c r="ID44" s="90">
        <f t="shared" si="125"/>
        <v>3.64</v>
      </c>
      <c r="IE44" s="90">
        <f t="shared" si="126"/>
        <v>2026.02</v>
      </c>
      <c r="IF44" s="90">
        <f t="shared" si="127"/>
        <v>3.64</v>
      </c>
      <c r="IG44" s="92">
        <f t="shared" si="128"/>
        <v>24312.239999999998</v>
      </c>
      <c r="IH44" s="90">
        <v>3.91</v>
      </c>
      <c r="II44" s="90">
        <f t="shared" si="129"/>
        <v>4.1100000000000003</v>
      </c>
      <c r="IJ44" s="90">
        <f t="shared" si="130"/>
        <v>2287.63</v>
      </c>
      <c r="IK44" s="90">
        <f t="shared" si="131"/>
        <v>4.1100000000000003</v>
      </c>
      <c r="IL44" s="90">
        <f t="shared" si="132"/>
        <v>2287.63</v>
      </c>
      <c r="IM44" s="90">
        <f t="shared" si="133"/>
        <v>4.1100000000000003</v>
      </c>
      <c r="IN44" s="90">
        <f t="shared" si="134"/>
        <v>2287.63</v>
      </c>
      <c r="IO44" s="90">
        <f t="shared" si="135"/>
        <v>4.1100000000000003</v>
      </c>
      <c r="IP44" s="93">
        <v>0.37052404126999999</v>
      </c>
      <c r="IQ44" s="90">
        <f t="shared" si="136"/>
        <v>164.9869450967056</v>
      </c>
      <c r="IR44" s="90">
        <f t="shared" si="137"/>
        <v>174.88616180250793</v>
      </c>
      <c r="IS44" s="90">
        <v>108693.96</v>
      </c>
      <c r="IT44" s="90">
        <v>3053.33</v>
      </c>
      <c r="IU44" s="94"/>
      <c r="IV44" s="94"/>
      <c r="IW44" s="94">
        <v>1.6976990999999999</v>
      </c>
      <c r="IX44" s="90">
        <f t="shared" si="138"/>
        <v>755.951455248</v>
      </c>
      <c r="IY44" s="93">
        <v>0.56339614052999998</v>
      </c>
      <c r="IZ44" s="90">
        <f t="shared" si="139"/>
        <v>313.58629181899801</v>
      </c>
      <c r="JA44" s="90">
        <f t="shared" si="140"/>
        <v>328.64</v>
      </c>
      <c r="JB44" s="90">
        <f t="shared" si="532"/>
        <v>344.9029520942633</v>
      </c>
      <c r="JC44" s="90">
        <f t="shared" si="141"/>
        <v>346.72</v>
      </c>
      <c r="JD44" s="90">
        <f t="shared" si="142"/>
        <v>366.68719360110083</v>
      </c>
      <c r="JE44" s="90">
        <f t="shared" si="143"/>
        <v>366.68719360110083</v>
      </c>
      <c r="JF44" s="93">
        <v>4.2278943710000003E-2</v>
      </c>
      <c r="JG44" s="90">
        <f t="shared" si="144"/>
        <v>18.825968055188802</v>
      </c>
      <c r="JH44" s="90">
        <f t="shared" si="145"/>
        <v>19.955526138500133</v>
      </c>
      <c r="JI44" s="20">
        <v>462.98</v>
      </c>
      <c r="JJ44" s="20"/>
      <c r="JK44" s="20">
        <v>6.0564E-2</v>
      </c>
      <c r="JL44" s="90">
        <f t="shared" si="146"/>
        <v>26.967937920000001</v>
      </c>
      <c r="JM44" s="93">
        <v>6.7347080040000007E-2</v>
      </c>
      <c r="JN44" s="90">
        <f t="shared" si="147"/>
        <v>37.485384750264004</v>
      </c>
      <c r="JO44" s="90">
        <f t="shared" si="148"/>
        <v>39.28</v>
      </c>
      <c r="JP44" s="90">
        <f t="shared" si="533"/>
        <v>41.223794907079672</v>
      </c>
      <c r="JQ44" s="90">
        <f t="shared" si="149"/>
        <v>41.44</v>
      </c>
      <c r="JR44" s="90">
        <f t="shared" si="150"/>
        <v>43.827510238106257</v>
      </c>
      <c r="JS44" s="90">
        <f t="shared" si="151"/>
        <v>43.827510238106257</v>
      </c>
      <c r="JT44" s="93">
        <v>7.3220517000000002E-3</v>
      </c>
      <c r="JU44" s="90">
        <f t="shared" si="152"/>
        <v>3.2603631809760003</v>
      </c>
      <c r="JV44" s="90">
        <f t="shared" si="153"/>
        <v>3.42</v>
      </c>
      <c r="JW44" s="90">
        <f t="shared" si="534"/>
        <v>3.5892407989361623</v>
      </c>
      <c r="JX44" s="90">
        <f t="shared" si="154"/>
        <v>3.61</v>
      </c>
      <c r="JY44" s="90">
        <f t="shared" si="155"/>
        <v>3.8159390278595571</v>
      </c>
      <c r="JZ44" s="90">
        <f t="shared" si="156"/>
        <v>3.8159390278595571</v>
      </c>
      <c r="KA44" s="90">
        <v>8.3091099999999998E-3</v>
      </c>
      <c r="KB44" s="90">
        <f t="shared" si="157"/>
        <v>3.6998805008</v>
      </c>
      <c r="KC44" s="90" t="e">
        <f>KB44*#REF!</f>
        <v>#REF!</v>
      </c>
      <c r="KD44" s="90">
        <v>16587.36</v>
      </c>
      <c r="KE44" s="90">
        <v>17977.669999999998</v>
      </c>
      <c r="KF44" s="90"/>
      <c r="KG44" s="90">
        <f t="shared" si="550"/>
        <v>603.25278537392319</v>
      </c>
      <c r="KH44" s="90" t="e">
        <f>KG44/(BW44+#REF!)*(CB44+#REF!)</f>
        <v>#REF!</v>
      </c>
      <c r="KI44" s="90">
        <v>0.8</v>
      </c>
      <c r="KJ44" s="94"/>
      <c r="KK44" s="90">
        <f t="shared" si="159"/>
        <v>0</v>
      </c>
      <c r="KL44" s="93">
        <v>1.1147001000000001</v>
      </c>
      <c r="KM44" s="90">
        <f>$I44*KL44</f>
        <v>620.44207566000011</v>
      </c>
      <c r="KN44" s="90">
        <f t="shared" si="161"/>
        <v>657.66860019960018</v>
      </c>
      <c r="KO44" s="90" t="e">
        <f>BW44+CN44+DC44+DS44+EG44+EV44+FK44+GB44+#REF!+#REF!+HJ44+HX44+IQ44+JG44+JU44+KK44+KM44</f>
        <v>#REF!</v>
      </c>
      <c r="KP44" s="90"/>
      <c r="KQ44" s="90">
        <v>0.50814739200000003</v>
      </c>
      <c r="KR44" s="90">
        <f t="shared" si="560"/>
        <v>282.83483838720002</v>
      </c>
      <c r="KS44" s="90">
        <v>0.71072749999999996</v>
      </c>
      <c r="KT44" s="90">
        <f t="shared" si="163"/>
        <v>201.0184975998387</v>
      </c>
      <c r="KU44" s="90">
        <f t="shared" si="164"/>
        <v>303.9652426393954</v>
      </c>
      <c r="KV44" s="90">
        <f t="shared" si="165"/>
        <v>318.56</v>
      </c>
      <c r="KW44" s="90">
        <f t="shared" si="535"/>
        <v>334.32413710792514</v>
      </c>
      <c r="KX44" s="90">
        <f t="shared" si="166"/>
        <v>336.08</v>
      </c>
      <c r="KY44" s="90">
        <f t="shared" si="167"/>
        <v>355.4402154137253</v>
      </c>
      <c r="KZ44" s="90">
        <f t="shared" si="168"/>
        <v>355.4402154137253</v>
      </c>
      <c r="LA44" s="90">
        <f t="shared" si="169"/>
        <v>2181.87</v>
      </c>
      <c r="LB44" s="90">
        <f t="shared" si="170"/>
        <v>3.92</v>
      </c>
      <c r="LC44" s="92">
        <f t="shared" si="171"/>
        <v>26182.44</v>
      </c>
      <c r="LD44" s="92">
        <v>4.21</v>
      </c>
      <c r="LE44" s="92">
        <v>2343.2899999999995</v>
      </c>
      <c r="LF44" s="90">
        <f t="shared" si="172"/>
        <v>4.18</v>
      </c>
      <c r="LG44" s="90">
        <f t="shared" si="173"/>
        <v>2326.59</v>
      </c>
      <c r="LH44" s="90">
        <f t="shared" si="174"/>
        <v>2345.5102499999998</v>
      </c>
      <c r="LI44" s="90">
        <f t="shared" si="175"/>
        <v>4.21</v>
      </c>
      <c r="LJ44" s="90">
        <f t="shared" si="176"/>
        <v>2326.5899999999997</v>
      </c>
      <c r="LK44" s="90">
        <f t="shared" si="177"/>
        <v>4.18</v>
      </c>
      <c r="LL44" s="90">
        <f t="shared" si="178"/>
        <v>2326.5899999999997</v>
      </c>
      <c r="LM44" s="90">
        <f t="shared" si="179"/>
        <v>4.18</v>
      </c>
      <c r="LN44" s="95">
        <v>0.46</v>
      </c>
      <c r="LO44" s="95">
        <f t="shared" si="180"/>
        <v>256.04000000000002</v>
      </c>
      <c r="LP44" s="95"/>
      <c r="LQ44" s="95">
        <f t="shared" si="181"/>
        <v>0</v>
      </c>
      <c r="LR44" s="90"/>
      <c r="LS44" s="90"/>
      <c r="LT44" s="90">
        <f t="shared" si="182"/>
        <v>0</v>
      </c>
      <c r="LU44" s="90"/>
      <c r="LV44" s="90">
        <f t="shared" si="183"/>
        <v>0</v>
      </c>
      <c r="LW44" s="90">
        <f t="shared" si="184"/>
        <v>0</v>
      </c>
      <c r="LX44" s="90"/>
      <c r="LY44" s="90"/>
      <c r="LZ44" s="90">
        <f t="shared" si="185"/>
        <v>0</v>
      </c>
      <c r="MA44" s="90"/>
      <c r="MB44" s="90">
        <f t="shared" si="186"/>
        <v>0</v>
      </c>
      <c r="MC44" s="90">
        <f t="shared" si="187"/>
        <v>0</v>
      </c>
      <c r="MD44" s="90"/>
      <c r="ME44" s="90"/>
      <c r="MF44" s="90">
        <f t="shared" si="188"/>
        <v>0</v>
      </c>
      <c r="MG44" s="90"/>
      <c r="MH44" s="90">
        <f t="shared" si="189"/>
        <v>0</v>
      </c>
      <c r="MI44" s="90">
        <f t="shared" si="190"/>
        <v>0</v>
      </c>
      <c r="MJ44" s="90"/>
      <c r="MK44" s="90"/>
      <c r="ML44" s="90">
        <f t="shared" si="191"/>
        <v>0</v>
      </c>
      <c r="MM44" s="90"/>
      <c r="MN44" s="90">
        <f t="shared" si="192"/>
        <v>0</v>
      </c>
      <c r="MO44" s="90">
        <f t="shared" si="193"/>
        <v>0</v>
      </c>
      <c r="MP44" s="90">
        <f t="shared" si="194"/>
        <v>0</v>
      </c>
      <c r="MQ44" s="90">
        <f t="shared" si="195"/>
        <v>0</v>
      </c>
      <c r="MR44" s="90">
        <f t="shared" si="196"/>
        <v>0</v>
      </c>
      <c r="MS44" s="90">
        <f t="shared" si="197"/>
        <v>0</v>
      </c>
      <c r="MT44" s="95"/>
      <c r="MU44" s="95">
        <f t="shared" si="198"/>
        <v>0</v>
      </c>
      <c r="MV44" s="92">
        <f t="shared" si="199"/>
        <v>0</v>
      </c>
      <c r="MW44" s="95"/>
      <c r="MX44" s="95">
        <f t="shared" si="200"/>
        <v>0</v>
      </c>
      <c r="MY44" s="95"/>
      <c r="MZ44" s="95">
        <f t="shared" si="201"/>
        <v>0</v>
      </c>
      <c r="NA44" s="95"/>
      <c r="NB44" s="95">
        <f t="shared" si="202"/>
        <v>0</v>
      </c>
      <c r="NC44" s="92">
        <f t="shared" si="203"/>
        <v>0</v>
      </c>
      <c r="ND44" s="95"/>
      <c r="NE44" s="95">
        <f t="shared" si="204"/>
        <v>0</v>
      </c>
      <c r="NF44" s="95"/>
      <c r="NG44" s="95">
        <f t="shared" si="205"/>
        <v>0</v>
      </c>
      <c r="NH44" s="95"/>
      <c r="NI44" s="95"/>
      <c r="NJ44" s="95">
        <f t="shared" si="206"/>
        <v>0</v>
      </c>
      <c r="NK44" s="92">
        <f t="shared" si="207"/>
        <v>0</v>
      </c>
      <c r="NL44" s="95"/>
      <c r="NM44" s="95">
        <f t="shared" si="208"/>
        <v>0</v>
      </c>
      <c r="NN44" s="95"/>
      <c r="NO44" s="95">
        <f t="shared" si="209"/>
        <v>0</v>
      </c>
      <c r="NP44" s="95"/>
      <c r="NQ44" s="95">
        <f t="shared" si="210"/>
        <v>0</v>
      </c>
      <c r="NR44" s="92">
        <f t="shared" si="211"/>
        <v>0</v>
      </c>
      <c r="NS44" s="95"/>
      <c r="NT44" s="95">
        <f t="shared" si="212"/>
        <v>0</v>
      </c>
      <c r="NU44" s="95"/>
      <c r="NV44" s="95">
        <f t="shared" si="213"/>
        <v>0</v>
      </c>
      <c r="NW44" s="95"/>
      <c r="NX44" s="95">
        <f t="shared" si="214"/>
        <v>0</v>
      </c>
      <c r="NY44" s="92">
        <f t="shared" si="215"/>
        <v>0</v>
      </c>
      <c r="NZ44" s="95"/>
      <c r="OA44" s="95">
        <f t="shared" si="216"/>
        <v>0</v>
      </c>
      <c r="OB44" s="95"/>
      <c r="OC44" s="95">
        <f t="shared" si="217"/>
        <v>0</v>
      </c>
      <c r="OD44" s="90">
        <v>3411.96</v>
      </c>
      <c r="OE44" s="90">
        <f t="shared" si="218"/>
        <v>6.13</v>
      </c>
      <c r="OF44" s="92">
        <f t="shared" si="219"/>
        <v>40943.520000000004</v>
      </c>
      <c r="OG44" s="96">
        <v>629.6</v>
      </c>
      <c r="OH44" s="96">
        <v>1.1299999999999999</v>
      </c>
      <c r="OI44" s="111">
        <v>4386.01</v>
      </c>
      <c r="OJ44" s="90">
        <f t="shared" si="220"/>
        <v>7.88</v>
      </c>
      <c r="OK44" s="90">
        <f t="shared" si="221"/>
        <v>4041.56</v>
      </c>
      <c r="OL44" s="90">
        <f t="shared" si="222"/>
        <v>7.26</v>
      </c>
      <c r="OM44" s="90">
        <f t="shared" si="223"/>
        <v>0.62000000000000011</v>
      </c>
      <c r="ON44" s="90">
        <v>3757.05</v>
      </c>
      <c r="OO44" s="90">
        <f t="shared" si="224"/>
        <v>6.75</v>
      </c>
      <c r="OP44" s="90">
        <v>3756.4100000000003</v>
      </c>
      <c r="OQ44" s="90">
        <v>6.75</v>
      </c>
      <c r="OR44" s="90">
        <f t="shared" si="225"/>
        <v>0</v>
      </c>
      <c r="OS44" s="90">
        <f t="shared" si="226"/>
        <v>6.75</v>
      </c>
      <c r="OT44" s="90">
        <v>3757.05</v>
      </c>
      <c r="OU44" s="90">
        <f t="shared" si="227"/>
        <v>6.75</v>
      </c>
      <c r="OV44" s="97">
        <v>3200.45</v>
      </c>
      <c r="OW44" s="90">
        <f t="shared" si="228"/>
        <v>3729.22</v>
      </c>
      <c r="OX44" s="90">
        <f t="shared" si="229"/>
        <v>6.7</v>
      </c>
      <c r="OY44" s="90">
        <f>OU44-1+0.95</f>
        <v>6.7</v>
      </c>
      <c r="OZ44" s="90"/>
      <c r="PA44" s="90"/>
      <c r="PB44" s="95">
        <f t="shared" si="230"/>
        <v>0</v>
      </c>
      <c r="PC44" s="92">
        <f t="shared" si="231"/>
        <v>0</v>
      </c>
      <c r="PD44" s="90"/>
      <c r="PE44" s="95">
        <f t="shared" si="232"/>
        <v>0</v>
      </c>
      <c r="PF44" s="90">
        <f t="shared" si="233"/>
        <v>8249.4500000000007</v>
      </c>
      <c r="PG44" s="90">
        <f t="shared" si="234"/>
        <v>14.82</v>
      </c>
      <c r="PH44" s="90">
        <f t="shared" si="235"/>
        <v>9956.2800000000007</v>
      </c>
      <c r="PI44" s="90">
        <f t="shared" si="236"/>
        <v>17.89</v>
      </c>
      <c r="PJ44" s="90">
        <f t="shared" si="237"/>
        <v>9956.2800000000007</v>
      </c>
      <c r="PK44" s="90">
        <f t="shared" si="238"/>
        <v>17.89</v>
      </c>
      <c r="PL44" s="90"/>
      <c r="PM44" s="90">
        <f t="shared" si="239"/>
        <v>247.48</v>
      </c>
      <c r="PN44" s="90">
        <f t="shared" si="240"/>
        <v>0.44</v>
      </c>
      <c r="PO44" s="92">
        <f t="shared" si="241"/>
        <v>2969.7599999999998</v>
      </c>
      <c r="PP44" s="90">
        <f t="shared" si="242"/>
        <v>298.69</v>
      </c>
      <c r="PQ44" s="90">
        <f t="shared" si="243"/>
        <v>0.54</v>
      </c>
      <c r="PR44" s="90">
        <f t="shared" si="244"/>
        <v>298.69</v>
      </c>
      <c r="PS44" s="90">
        <f t="shared" si="245"/>
        <v>0.54</v>
      </c>
      <c r="PT44" s="90">
        <f t="shared" si="246"/>
        <v>8496.93</v>
      </c>
      <c r="PU44" s="90">
        <f t="shared" si="247"/>
        <v>15.27</v>
      </c>
      <c r="PV44" s="90">
        <f t="shared" si="248"/>
        <v>10254.970000000001</v>
      </c>
      <c r="PW44" s="90">
        <f t="shared" si="249"/>
        <v>18.420000000000002</v>
      </c>
      <c r="PX44" s="90">
        <f t="shared" si="250"/>
        <v>10254.970000000001</v>
      </c>
      <c r="PY44" s="90">
        <f t="shared" si="251"/>
        <v>18.420000000000002</v>
      </c>
      <c r="PZ44" s="90">
        <f t="shared" si="252"/>
        <v>85.83</v>
      </c>
      <c r="QA44" s="90">
        <f t="shared" si="253"/>
        <v>0.15</v>
      </c>
      <c r="QB44" s="92">
        <f t="shared" si="254"/>
        <v>1029.96</v>
      </c>
      <c r="QC44" s="90">
        <f t="shared" si="255"/>
        <v>103.59</v>
      </c>
      <c r="QD44" s="90">
        <f t="shared" si="256"/>
        <v>0.19</v>
      </c>
      <c r="QE44" s="90">
        <f t="shared" si="257"/>
        <v>103.59</v>
      </c>
      <c r="QF44" s="90">
        <f t="shared" si="258"/>
        <v>0.19</v>
      </c>
      <c r="QG44" s="90">
        <f t="shared" si="259"/>
        <v>8582.76</v>
      </c>
      <c r="QH44" s="90">
        <f t="shared" si="260"/>
        <v>15.42</v>
      </c>
      <c r="QI44" s="92">
        <f t="shared" si="261"/>
        <v>102993.12</v>
      </c>
      <c r="QJ44" s="90">
        <f t="shared" si="262"/>
        <v>349.74413710792516</v>
      </c>
      <c r="QK44" s="98">
        <f t="shared" si="263"/>
        <v>0.21869999999999998</v>
      </c>
      <c r="QL44" s="90">
        <f t="shared" si="264"/>
        <v>121.72841999999999</v>
      </c>
      <c r="QM44" s="90">
        <f t="shared" si="265"/>
        <v>0.14579999999999999</v>
      </c>
      <c r="QN44" s="90">
        <f t="shared" si="266"/>
        <v>81.15227999999999</v>
      </c>
      <c r="QO44" s="90">
        <v>0.21869999999999998</v>
      </c>
      <c r="QP44" s="90">
        <v>0.14579999999999999</v>
      </c>
      <c r="QQ44" s="97">
        <f t="shared" si="267"/>
        <v>202.88069999999999</v>
      </c>
      <c r="QR44" s="97">
        <v>202.5891</v>
      </c>
      <c r="QS44" s="97">
        <f t="shared" si="268"/>
        <v>0.29159999999998831</v>
      </c>
      <c r="QT44" s="90"/>
      <c r="QU44" s="90">
        <f t="shared" si="269"/>
        <v>0.14579999999999999</v>
      </c>
      <c r="QV44" s="90">
        <f t="shared" si="270"/>
        <v>81.15227999999999</v>
      </c>
      <c r="QW44" s="90">
        <f t="shared" si="271"/>
        <v>202.88069999999999</v>
      </c>
      <c r="QX44" s="90">
        <f t="shared" si="272"/>
        <v>0.36449999999999999</v>
      </c>
      <c r="QY44" s="90"/>
      <c r="QZ44" s="90"/>
      <c r="RA44" s="90"/>
      <c r="RB44" s="90">
        <v>2068.5300000000002</v>
      </c>
      <c r="RC44" s="97">
        <f t="shared" si="273"/>
        <v>8582.76</v>
      </c>
      <c r="RD44" s="97">
        <f t="shared" si="274"/>
        <v>15.42</v>
      </c>
      <c r="RE44" s="90">
        <f t="shared" si="275"/>
        <v>10358.560000000001</v>
      </c>
      <c r="RF44" s="90">
        <f t="shared" si="276"/>
        <v>18.61</v>
      </c>
      <c r="RG44" s="90">
        <f t="shared" si="277"/>
        <v>120.76573653471772</v>
      </c>
      <c r="RH44" s="90">
        <f t="shared" si="278"/>
        <v>10358.560000000001</v>
      </c>
      <c r="RI44" s="90">
        <f t="shared" si="279"/>
        <v>18.61</v>
      </c>
      <c r="RJ44" s="90">
        <v>17.63</v>
      </c>
      <c r="RK44" s="90">
        <v>0</v>
      </c>
      <c r="RL44" s="90">
        <f t="shared" si="280"/>
        <v>0.98000000000000043</v>
      </c>
      <c r="RM44" s="90">
        <f t="shared" si="281"/>
        <v>111.09785202863964</v>
      </c>
      <c r="RN44" s="90">
        <f t="shared" si="282"/>
        <v>5341.36</v>
      </c>
      <c r="RO44" s="90"/>
      <c r="RP44" s="90"/>
      <c r="RQ44" s="99">
        <v>3552</v>
      </c>
      <c r="RR44" s="90">
        <f t="shared" si="283"/>
        <v>5170.7999999999993</v>
      </c>
      <c r="RS44" s="90">
        <f t="shared" si="284"/>
        <v>9.2899748472870982</v>
      </c>
      <c r="RT44" s="90">
        <f>11.28+3.3</f>
        <v>14.579999999999998</v>
      </c>
      <c r="RU44" s="90">
        <f t="shared" si="285"/>
        <v>8115.2279999999992</v>
      </c>
      <c r="RV44" s="90">
        <f t="shared" si="286"/>
        <v>0.62835813350327907</v>
      </c>
      <c r="RW44" s="90">
        <v>10.43</v>
      </c>
      <c r="RX44" s="90">
        <f t="shared" si="287"/>
        <v>10.951499999999999</v>
      </c>
      <c r="RY44" s="90">
        <f t="shared" si="288"/>
        <v>6095.6049000000003</v>
      </c>
      <c r="RZ44" s="90">
        <f t="shared" si="289"/>
        <v>1608.1521772855331</v>
      </c>
      <c r="SA44" s="90">
        <f t="shared" si="290"/>
        <v>719.48413753529508</v>
      </c>
      <c r="SB44" s="90">
        <f t="shared" si="291"/>
        <v>1087.9504774554021</v>
      </c>
      <c r="SC44" s="90">
        <f t="shared" si="292"/>
        <v>1976.6185172056398</v>
      </c>
      <c r="SD44" s="90">
        <f t="shared" si="293"/>
        <v>1976.61851720564</v>
      </c>
      <c r="SE44" s="90">
        <f t="shared" si="294"/>
        <v>2006.3911868620185</v>
      </c>
      <c r="SF44" s="90">
        <f t="shared" si="295"/>
        <v>1976.279944443339</v>
      </c>
      <c r="SG44" s="90">
        <f t="shared" si="296"/>
        <v>0.33857276230082789</v>
      </c>
      <c r="SH44" s="90">
        <f t="shared" si="297"/>
        <v>1976.3939361233388</v>
      </c>
      <c r="SI44" s="90">
        <f t="shared" si="298"/>
        <v>3.5512370054</v>
      </c>
      <c r="SJ44" s="90">
        <f t="shared" si="299"/>
        <v>3.5506287180081548</v>
      </c>
      <c r="SK44" s="90"/>
      <c r="SL44" s="90"/>
      <c r="SM44" s="90"/>
      <c r="SN44" s="90">
        <f t="shared" si="300"/>
        <v>2116.17</v>
      </c>
      <c r="SO44" s="90" t="e">
        <f>RU44-#REF!-#REF!-HZ44-LT44-LZ44-MF44-ML44-QL44-QN44-SD44</f>
        <v>#REF!</v>
      </c>
      <c r="SP44" s="90">
        <f t="shared" si="301"/>
        <v>2071.4900000000002</v>
      </c>
      <c r="SQ44" s="90">
        <f t="shared" si="302"/>
        <v>2181.87</v>
      </c>
      <c r="SR44" s="90">
        <f t="shared" si="303"/>
        <v>3.7216852317642832</v>
      </c>
      <c r="SS44" s="90">
        <f t="shared" si="304"/>
        <v>3.9199964067552995</v>
      </c>
      <c r="ST44" s="90">
        <f t="shared" si="305"/>
        <v>2190.212</v>
      </c>
      <c r="SU44" s="90">
        <v>3.7217164447643034</v>
      </c>
      <c r="SV44" s="90">
        <f t="shared" si="306"/>
        <v>3.93</v>
      </c>
      <c r="SW44" s="90">
        <v>3.92</v>
      </c>
      <c r="SX44" s="90">
        <f t="shared" si="307"/>
        <v>2181.87</v>
      </c>
      <c r="SY44" s="90">
        <v>3.7217164447643034</v>
      </c>
      <c r="SZ44" s="90">
        <f t="shared" si="308"/>
        <v>2071.5073731558114</v>
      </c>
      <c r="TA44" s="90">
        <f t="shared" si="309"/>
        <v>1.7373155811128527E-2</v>
      </c>
      <c r="TB44" s="90">
        <v>0</v>
      </c>
      <c r="TC44" s="90">
        <f t="shared" si="310"/>
        <v>3290.9872999999975</v>
      </c>
      <c r="TD44" s="90" t="e">
        <f>#REF!+#REF!</f>
        <v>#REF!</v>
      </c>
      <c r="TE44" s="90" t="e">
        <f t="shared" si="311"/>
        <v>#REF!</v>
      </c>
      <c r="TF44" s="90">
        <v>3224.3548999999998</v>
      </c>
      <c r="TG44" s="90">
        <f t="shared" si="312"/>
        <v>40.553232761913748</v>
      </c>
      <c r="TH44" s="95"/>
      <c r="TI44" s="95"/>
      <c r="TJ44" s="95"/>
      <c r="TK44" s="95"/>
      <c r="TL44" s="95"/>
      <c r="TM44" s="95">
        <f t="shared" si="313"/>
        <v>0</v>
      </c>
      <c r="TN44" s="95">
        <f t="shared" si="314"/>
        <v>8115.2279999999992</v>
      </c>
      <c r="TO44" s="95">
        <f t="shared" si="315"/>
        <v>40.553232761913748</v>
      </c>
      <c r="TP44" s="95"/>
      <c r="TQ44" s="95">
        <f t="shared" si="316"/>
        <v>14.579999999999998</v>
      </c>
      <c r="TR44" s="95"/>
      <c r="TS44" s="95"/>
      <c r="TT44" s="95"/>
      <c r="TU44" s="95"/>
      <c r="TV44" s="95"/>
      <c r="TW44" s="95"/>
      <c r="TX44" s="95"/>
      <c r="TY44" s="95"/>
      <c r="TZ44" s="95">
        <f t="shared" si="317"/>
        <v>2.5</v>
      </c>
      <c r="UA44" s="95">
        <f t="shared" si="318"/>
        <v>0.64151999999999998</v>
      </c>
      <c r="UB44" s="90">
        <v>0</v>
      </c>
      <c r="UC44" s="90">
        <f t="shared" si="319"/>
        <v>0</v>
      </c>
      <c r="UD44" s="90">
        <f t="shared" si="320"/>
        <v>0</v>
      </c>
      <c r="UE44" s="90">
        <f t="shared" si="321"/>
        <v>0</v>
      </c>
      <c r="UF44" s="90">
        <f t="shared" si="322"/>
        <v>8115.2279999999992</v>
      </c>
      <c r="UG44" s="91">
        <f t="shared" si="323"/>
        <v>0</v>
      </c>
      <c r="UH44" s="95">
        <f t="shared" si="324"/>
        <v>40.553232761913748</v>
      </c>
      <c r="UI44" s="95">
        <f t="shared" si="325"/>
        <v>8115.2279999999992</v>
      </c>
      <c r="UJ44" s="101">
        <f t="shared" si="326"/>
        <v>0</v>
      </c>
      <c r="UK44" s="101">
        <f t="shared" si="327"/>
        <v>40.553232761913748</v>
      </c>
      <c r="UL44" s="90" t="e">
        <f>(#REF!+#REF!+HZ44+LT44+LZ44+MF44+ML44+QL44+QN44+SN44+TC44+TM44+UC44)/I44</f>
        <v>#REF!</v>
      </c>
      <c r="UN44" s="90" t="e">
        <f>#REF!/I44</f>
        <v>#REF!</v>
      </c>
      <c r="UO44" s="90" t="e">
        <f>#REF!/I44</f>
        <v>#REF!</v>
      </c>
      <c r="UP44" s="90">
        <v>1.1499999999999999</v>
      </c>
      <c r="UQ44" s="90" t="e">
        <f t="shared" si="328"/>
        <v>#REF!</v>
      </c>
      <c r="UR44" s="90">
        <f t="shared" si="329"/>
        <v>5170.7999999999993</v>
      </c>
      <c r="US44" s="90">
        <f t="shared" si="330"/>
        <v>6373.3</v>
      </c>
      <c r="UT44" s="90">
        <f t="shared" si="331"/>
        <v>6373.3</v>
      </c>
      <c r="UU44" s="90">
        <f t="shared" si="516"/>
        <v>6629.34</v>
      </c>
      <c r="UV44" s="90">
        <f t="shared" si="333"/>
        <v>6373.3</v>
      </c>
      <c r="UW44" s="90">
        <f t="shared" si="334"/>
        <v>5.05</v>
      </c>
      <c r="UX44" s="90">
        <f t="shared" si="335"/>
        <v>3.92</v>
      </c>
      <c r="UY44" s="90">
        <f t="shared" si="336"/>
        <v>3.8019583183614802</v>
      </c>
      <c r="UZ44" s="100">
        <f t="shared" si="337"/>
        <v>3.5512370054</v>
      </c>
      <c r="VA44" s="90">
        <f t="shared" si="338"/>
        <v>0</v>
      </c>
      <c r="VB44" s="90">
        <f t="shared" si="339"/>
        <v>1.1299999999999999</v>
      </c>
      <c r="VC44" s="90">
        <f t="shared" si="340"/>
        <v>0</v>
      </c>
      <c r="VD44" s="90">
        <f t="shared" si="341"/>
        <v>0</v>
      </c>
      <c r="VE44" s="90">
        <f t="shared" si="342"/>
        <v>0</v>
      </c>
      <c r="VF44" s="90">
        <f t="shared" si="343"/>
        <v>0</v>
      </c>
      <c r="VG44" s="90">
        <f t="shared" si="344"/>
        <v>0</v>
      </c>
      <c r="VH44" s="90">
        <f t="shared" si="345"/>
        <v>0</v>
      </c>
      <c r="VI44" s="90">
        <f t="shared" si="346"/>
        <v>0</v>
      </c>
      <c r="VJ44" s="90">
        <f t="shared" si="347"/>
        <v>0</v>
      </c>
      <c r="VK44" s="90">
        <f t="shared" si="348"/>
        <v>0.91</v>
      </c>
      <c r="VL44" s="90">
        <f t="shared" si="349"/>
        <v>3.64</v>
      </c>
      <c r="VM44" s="90">
        <f t="shared" si="350"/>
        <v>6.13</v>
      </c>
      <c r="VN44" s="90">
        <f t="shared" si="351"/>
        <v>0</v>
      </c>
      <c r="VO44" s="90">
        <f t="shared" si="352"/>
        <v>6.13</v>
      </c>
      <c r="VP44" s="97">
        <v>0</v>
      </c>
      <c r="VQ44" s="97">
        <v>6.13</v>
      </c>
      <c r="VR44" s="90">
        <f t="shared" si="353"/>
        <v>0.44</v>
      </c>
      <c r="VS44" s="90">
        <f t="shared" si="354"/>
        <v>0.15</v>
      </c>
      <c r="VT44" s="90">
        <v>0.11989898989898991</v>
      </c>
      <c r="VU44" s="90">
        <f t="shared" si="355"/>
        <v>0.15410000000000001</v>
      </c>
      <c r="VV44" s="90">
        <v>0.38175323599898991</v>
      </c>
      <c r="VW44" s="90">
        <f t="shared" si="356"/>
        <v>0.59</v>
      </c>
      <c r="VX44" s="90">
        <f t="shared" si="357"/>
        <v>15.41</v>
      </c>
      <c r="VY44" s="90">
        <f t="shared" si="358"/>
        <v>15.41</v>
      </c>
      <c r="VZ44" s="90">
        <f t="shared" si="359"/>
        <v>0</v>
      </c>
      <c r="WA44" s="90"/>
      <c r="WB44" s="90">
        <f t="shared" si="360"/>
        <v>15.41</v>
      </c>
      <c r="WC44" s="90">
        <f t="shared" si="361"/>
        <v>0</v>
      </c>
      <c r="WD44" s="90"/>
      <c r="WE44" s="90">
        <v>15.41</v>
      </c>
      <c r="WF44" s="90"/>
      <c r="WG44" s="90">
        <f t="shared" si="362"/>
        <v>8577.2060000000001</v>
      </c>
      <c r="WH44" s="90">
        <f t="shared" si="363"/>
        <v>8577.2060000000001</v>
      </c>
      <c r="WI44" s="90">
        <f t="shared" si="364"/>
        <v>8582.76</v>
      </c>
      <c r="WJ44" s="90">
        <f t="shared" si="365"/>
        <v>5170.7999999999993</v>
      </c>
      <c r="WK44" s="97">
        <v>3407.05</v>
      </c>
      <c r="WL44" s="97">
        <v>6.13</v>
      </c>
      <c r="WM44" s="90">
        <f t="shared" si="366"/>
        <v>3411.96</v>
      </c>
      <c r="WN44" s="90">
        <f t="shared" si="367"/>
        <v>6.13</v>
      </c>
      <c r="WO44" s="90"/>
      <c r="WP44" s="97">
        <v>15.41</v>
      </c>
      <c r="WQ44" s="90">
        <f t="shared" si="368"/>
        <v>15.41</v>
      </c>
      <c r="WR44" s="91">
        <f t="shared" si="369"/>
        <v>105.69272976680386</v>
      </c>
      <c r="WS44" s="91">
        <f t="shared" si="370"/>
        <v>136.61347517730499</v>
      </c>
      <c r="WT44" s="90">
        <f t="shared" si="371"/>
        <v>8577.2099999999991</v>
      </c>
      <c r="WU44" s="90">
        <f t="shared" si="372"/>
        <v>8582.76</v>
      </c>
      <c r="WV44" s="90">
        <f t="shared" si="373"/>
        <v>-5.5500000000010914</v>
      </c>
      <c r="WW44" s="90">
        <v>3.3</v>
      </c>
      <c r="WX44" s="90"/>
      <c r="WY44" s="90"/>
      <c r="WZ44" s="90">
        <f t="shared" si="374"/>
        <v>6.1020434343434333</v>
      </c>
      <c r="XA44" s="90">
        <v>0</v>
      </c>
      <c r="XB44" s="90">
        <f t="shared" si="375"/>
        <v>6.1020434343434333</v>
      </c>
      <c r="XC44" s="90">
        <f t="shared" si="376"/>
        <v>0.46229999999999999</v>
      </c>
      <c r="XD44" s="90">
        <f t="shared" si="377"/>
        <v>0.15565656565656566</v>
      </c>
      <c r="XE44" s="90"/>
      <c r="XF44" s="90">
        <f t="shared" si="378"/>
        <v>15.41</v>
      </c>
      <c r="XG44" s="90">
        <v>5.8012862540482182</v>
      </c>
      <c r="XH44" s="20">
        <v>14.579999999999998</v>
      </c>
      <c r="XI44" s="20">
        <v>0</v>
      </c>
      <c r="XJ44" s="20"/>
      <c r="XK44" s="20"/>
      <c r="XL44" s="20"/>
      <c r="XM44" s="20">
        <f t="shared" si="379"/>
        <v>14.579999999999998</v>
      </c>
      <c r="XN44" s="91">
        <f t="shared" si="380"/>
        <v>105.69272976680386</v>
      </c>
      <c r="XO44" s="20">
        <f t="shared" si="381"/>
        <v>14.579999999999998</v>
      </c>
      <c r="XP44" s="90">
        <f t="shared" si="382"/>
        <v>11.279999999999998</v>
      </c>
      <c r="XQ44" s="91">
        <f t="shared" si="383"/>
        <v>105.69272976680386</v>
      </c>
      <c r="XR44" s="102"/>
      <c r="XS44" s="90">
        <f t="shared" si="384"/>
        <v>3.64</v>
      </c>
      <c r="XT44" s="90">
        <f t="shared" si="385"/>
        <v>5.05</v>
      </c>
      <c r="XU44" s="90">
        <f t="shared" si="386"/>
        <v>3.92</v>
      </c>
      <c r="XV44" s="90">
        <f t="shared" si="387"/>
        <v>0</v>
      </c>
      <c r="XW44" s="90">
        <f t="shared" si="388"/>
        <v>0</v>
      </c>
      <c r="XX44" s="90">
        <f t="shared" si="389"/>
        <v>0</v>
      </c>
      <c r="XY44" s="90">
        <f t="shared" si="390"/>
        <v>1.1299999999999999</v>
      </c>
      <c r="XZ44" s="90">
        <f t="shared" si="391"/>
        <v>0</v>
      </c>
      <c r="YA44" s="90">
        <f t="shared" si="392"/>
        <v>0</v>
      </c>
      <c r="YB44" s="90">
        <f t="shared" si="552"/>
        <v>0</v>
      </c>
      <c r="YC44" s="90">
        <f t="shared" si="552"/>
        <v>0</v>
      </c>
      <c r="YD44" s="90">
        <f t="shared" si="394"/>
        <v>1.1299999999999999</v>
      </c>
      <c r="YE44" s="90">
        <f t="shared" si="395"/>
        <v>6.13</v>
      </c>
      <c r="YF44" s="90">
        <f t="shared" si="396"/>
        <v>0.59</v>
      </c>
      <c r="YG44" s="90">
        <f t="shared" si="397"/>
        <v>15.41</v>
      </c>
      <c r="YI44" s="103" t="s">
        <v>529</v>
      </c>
      <c r="YK44" s="90">
        <f t="shared" si="398"/>
        <v>1.07</v>
      </c>
      <c r="YL44" s="90">
        <f t="shared" si="553"/>
        <v>0</v>
      </c>
      <c r="YM44" s="90">
        <f t="shared" si="553"/>
        <v>1.1299999999999999</v>
      </c>
      <c r="YN44" s="90">
        <f t="shared" si="400"/>
        <v>3.64</v>
      </c>
      <c r="YO44" s="90">
        <f t="shared" si="401"/>
        <v>9.57</v>
      </c>
      <c r="YP44" s="90">
        <f t="shared" si="402"/>
        <v>0</v>
      </c>
      <c r="YQ44" s="90">
        <f t="shared" si="403"/>
        <v>15.41</v>
      </c>
      <c r="YR44" s="90">
        <f t="shared" si="404"/>
        <v>0</v>
      </c>
      <c r="YS44" s="104">
        <f t="shared" si="405"/>
        <v>15.41</v>
      </c>
      <c r="YT44" s="104">
        <f t="shared" si="406"/>
        <v>0</v>
      </c>
      <c r="YY44" s="90">
        <f t="shared" si="407"/>
        <v>6.6199999999999992</v>
      </c>
      <c r="YZ44" s="90">
        <f t="shared" si="408"/>
        <v>4.18</v>
      </c>
      <c r="ZA44" s="90">
        <f t="shared" si="409"/>
        <v>0</v>
      </c>
      <c r="ZB44" s="90">
        <f t="shared" si="410"/>
        <v>2.44</v>
      </c>
      <c r="ZC44" s="90">
        <f t="shared" si="411"/>
        <v>0</v>
      </c>
      <c r="ZD44" s="90">
        <f t="shared" si="412"/>
        <v>0</v>
      </c>
      <c r="ZE44" s="90">
        <f t="shared" si="413"/>
        <v>0</v>
      </c>
      <c r="ZF44" s="90">
        <f t="shared" si="414"/>
        <v>0</v>
      </c>
      <c r="ZG44" s="90">
        <f t="shared" si="415"/>
        <v>0</v>
      </c>
      <c r="ZH44" s="90">
        <f t="shared" si="416"/>
        <v>0</v>
      </c>
      <c r="ZI44" s="90">
        <f t="shared" si="417"/>
        <v>0</v>
      </c>
      <c r="ZJ44" s="90">
        <f t="shared" si="418"/>
        <v>0</v>
      </c>
      <c r="ZK44" s="90">
        <f t="shared" si="419"/>
        <v>0</v>
      </c>
      <c r="ZL44" s="90">
        <f t="shared" si="420"/>
        <v>0.02</v>
      </c>
      <c r="ZM44" s="90">
        <f t="shared" si="421"/>
        <v>4.1100000000000003</v>
      </c>
      <c r="ZN44" s="90">
        <f t="shared" si="422"/>
        <v>9.14</v>
      </c>
      <c r="ZO44" s="90">
        <f t="shared" si="423"/>
        <v>7.26</v>
      </c>
      <c r="ZP44" s="90">
        <f t="shared" si="424"/>
        <v>6.7</v>
      </c>
      <c r="ZQ44" s="90">
        <f t="shared" si="425"/>
        <v>0</v>
      </c>
      <c r="ZR44" s="90">
        <f t="shared" si="426"/>
        <v>6.7</v>
      </c>
      <c r="ZS44" s="97">
        <v>227</v>
      </c>
      <c r="ZT44" s="97">
        <v>230.38</v>
      </c>
      <c r="ZU44" s="90">
        <f t="shared" si="427"/>
        <v>0.54</v>
      </c>
      <c r="ZV44" s="90">
        <f t="shared" si="428"/>
        <v>0.19</v>
      </c>
      <c r="ZW44" s="90">
        <v>0.11989898989898991</v>
      </c>
      <c r="ZX44" s="90">
        <f t="shared" si="429"/>
        <v>0.18160000000000001</v>
      </c>
      <c r="ZY44" s="90">
        <v>0.38175323599898991</v>
      </c>
      <c r="ZZ44" s="90">
        <f t="shared" si="430"/>
        <v>0.73</v>
      </c>
      <c r="AAA44" s="90">
        <f t="shared" si="431"/>
        <v>18.16</v>
      </c>
      <c r="AAB44" s="90">
        <f t="shared" si="432"/>
        <v>18.16</v>
      </c>
      <c r="AAC44" s="90">
        <f t="shared" si="433"/>
        <v>0</v>
      </c>
      <c r="AAD44" s="90"/>
      <c r="AAE44" s="90">
        <f t="shared" si="434"/>
        <v>18.16</v>
      </c>
      <c r="AAF44" s="90">
        <v>15.41</v>
      </c>
      <c r="AAG44" s="90">
        <f t="shared" si="435"/>
        <v>117.84555483452304</v>
      </c>
      <c r="AAH44" s="90">
        <f t="shared" si="436"/>
        <v>0</v>
      </c>
      <c r="AAI44" s="90">
        <v>0</v>
      </c>
      <c r="AAJ44" s="90"/>
      <c r="AAK44" s="1">
        <v>16.760000000000002</v>
      </c>
      <c r="AAL44" s="104">
        <f t="shared" si="437"/>
        <v>1.3999999999999986</v>
      </c>
      <c r="AAM44" s="103" t="s">
        <v>482</v>
      </c>
      <c r="AAN44" s="105">
        <v>6.45</v>
      </c>
      <c r="AAO44" s="90">
        <f t="shared" si="438"/>
        <v>7.0799999999999992</v>
      </c>
      <c r="AAP44" s="90">
        <v>4.21</v>
      </c>
      <c r="AAQ44" s="90">
        <f t="shared" si="439"/>
        <v>4.18</v>
      </c>
      <c r="AAR44" s="90">
        <v>0</v>
      </c>
      <c r="AAS44" s="90">
        <f t="shared" si="440"/>
        <v>0</v>
      </c>
      <c r="AAT44" s="90"/>
      <c r="AAU44" s="90">
        <v>2.2400000000000002</v>
      </c>
      <c r="AAV44" s="90">
        <f t="shared" si="442"/>
        <v>2.44</v>
      </c>
      <c r="AAW44" s="90">
        <f t="shared" si="443"/>
        <v>108.92857142857142</v>
      </c>
      <c r="AAX44" s="90">
        <f t="shared" si="444"/>
        <v>0.46</v>
      </c>
      <c r="AAY44" s="90">
        <f t="shared" si="445"/>
        <v>0</v>
      </c>
      <c r="AAZ44" s="90">
        <f t="shared" si="446"/>
        <v>0</v>
      </c>
      <c r="ABA44" s="90">
        <f t="shared" si="447"/>
        <v>0</v>
      </c>
      <c r="ABB44" s="90">
        <f t="shared" si="448"/>
        <v>0</v>
      </c>
      <c r="ABC44" s="90">
        <v>0</v>
      </c>
      <c r="ABD44" s="90">
        <f t="shared" si="449"/>
        <v>0</v>
      </c>
      <c r="ABE44" s="90"/>
      <c r="ABF44" s="90">
        <v>0</v>
      </c>
      <c r="ABG44" s="90">
        <f t="shared" si="450"/>
        <v>0</v>
      </c>
      <c r="ABH44" s="90"/>
      <c r="ABI44" s="90">
        <f t="shared" si="451"/>
        <v>0</v>
      </c>
      <c r="ABJ44" s="90">
        <f t="shared" si="452"/>
        <v>0</v>
      </c>
      <c r="ABK44" s="90">
        <v>0</v>
      </c>
      <c r="ABL44" s="90">
        <f t="shared" si="453"/>
        <v>0</v>
      </c>
      <c r="ABM44" s="90">
        <f t="shared" si="454"/>
        <v>0</v>
      </c>
      <c r="ABN44" s="90">
        <f t="shared" si="455"/>
        <v>0.02</v>
      </c>
      <c r="ABO44" s="90">
        <v>3.91</v>
      </c>
      <c r="ABP44" s="90">
        <f t="shared" si="456"/>
        <v>4.1100000000000003</v>
      </c>
      <c r="ABQ44" s="90">
        <f t="shared" si="457"/>
        <v>105.1150895140665</v>
      </c>
      <c r="ABR44" s="90">
        <f t="shared" si="458"/>
        <v>9.14</v>
      </c>
      <c r="ABS44" s="90">
        <f t="shared" si="459"/>
        <v>7.26</v>
      </c>
      <c r="ABT44" s="90">
        <v>5.75</v>
      </c>
      <c r="ABU44" s="90">
        <f t="shared" si="460"/>
        <v>6.7</v>
      </c>
      <c r="ABV44" s="90">
        <f t="shared" si="461"/>
        <v>116.52173913043478</v>
      </c>
      <c r="ABW44" s="90">
        <f t="shared" si="462"/>
        <v>0</v>
      </c>
      <c r="ABX44" s="90">
        <f t="shared" si="463"/>
        <v>6.7</v>
      </c>
      <c r="ABY44" s="97">
        <v>227</v>
      </c>
      <c r="ABZ44" s="97">
        <v>230.38</v>
      </c>
      <c r="ACA44" s="90">
        <f t="shared" si="464"/>
        <v>0.54</v>
      </c>
      <c r="ACB44" s="90">
        <f t="shared" si="465"/>
        <v>0.19</v>
      </c>
      <c r="ACC44" s="90">
        <v>0.11989898989898991</v>
      </c>
      <c r="ACD44" s="90">
        <f t="shared" si="466"/>
        <v>0.18160000000000001</v>
      </c>
      <c r="ACE44" s="90">
        <v>0.38175323599898991</v>
      </c>
      <c r="ACF44" s="90">
        <v>0.65</v>
      </c>
      <c r="ACG44" s="90">
        <f t="shared" si="467"/>
        <v>0.73</v>
      </c>
      <c r="ACH44" s="90">
        <f t="shared" si="468"/>
        <v>112.30769230769231</v>
      </c>
      <c r="ACI44" s="90">
        <f t="shared" si="469"/>
        <v>18.62</v>
      </c>
      <c r="ACJ44" s="90">
        <f t="shared" si="470"/>
        <v>18.16</v>
      </c>
      <c r="ACK44" s="90">
        <f t="shared" si="471"/>
        <v>-0.46000000000000085</v>
      </c>
      <c r="ACL44" s="90"/>
      <c r="ACM44" s="90">
        <f t="shared" si="472"/>
        <v>18.62</v>
      </c>
      <c r="ACN44" s="90">
        <f t="shared" si="473"/>
        <v>0</v>
      </c>
      <c r="ACO44" s="90">
        <f t="shared" si="474"/>
        <v>18.62</v>
      </c>
      <c r="ACP44" s="90">
        <v>16.759999999999998</v>
      </c>
      <c r="ACQ44" s="90">
        <f t="shared" si="475"/>
        <v>111.09785202863964</v>
      </c>
      <c r="ACR44" s="90">
        <f t="shared" si="476"/>
        <v>0</v>
      </c>
      <c r="ACS44" s="90">
        <v>0</v>
      </c>
      <c r="ACT44" s="90"/>
      <c r="ACU44" s="90">
        <f t="shared" si="477"/>
        <v>17.614759999999997</v>
      </c>
      <c r="ACV44" s="90">
        <f t="shared" si="478"/>
        <v>-1.0052400000000041</v>
      </c>
      <c r="ACX44" s="106" t="s">
        <v>440</v>
      </c>
      <c r="ACY44" s="107"/>
      <c r="ACZ44" s="107"/>
      <c r="ADB44" s="90">
        <f t="shared" si="479"/>
        <v>4.1100000000000003</v>
      </c>
      <c r="ADC44" s="90">
        <f t="shared" si="480"/>
        <v>7.08</v>
      </c>
      <c r="ADD44" s="90">
        <f t="shared" si="481"/>
        <v>4.18</v>
      </c>
      <c r="ADE44" s="90">
        <f t="shared" si="517"/>
        <v>0.46</v>
      </c>
      <c r="ADF44" s="90">
        <f t="shared" si="483"/>
        <v>0</v>
      </c>
      <c r="ADG44" s="90">
        <f t="shared" si="554"/>
        <v>0.46</v>
      </c>
      <c r="ADH44" s="90">
        <f t="shared" si="554"/>
        <v>0</v>
      </c>
      <c r="ADI44" s="90">
        <f t="shared" si="554"/>
        <v>0</v>
      </c>
      <c r="ADJ44" s="90">
        <f t="shared" si="485"/>
        <v>2.44</v>
      </c>
      <c r="ADK44" s="90">
        <f t="shared" si="486"/>
        <v>0</v>
      </c>
      <c r="ADL44" s="90">
        <f t="shared" si="487"/>
        <v>0</v>
      </c>
      <c r="ADM44" s="90">
        <f t="shared" si="555"/>
        <v>0</v>
      </c>
      <c r="ADN44" s="90">
        <f t="shared" si="555"/>
        <v>0</v>
      </c>
      <c r="ADO44" s="90">
        <f t="shared" si="489"/>
        <v>2.44</v>
      </c>
      <c r="ADP44" s="90">
        <f t="shared" si="490"/>
        <v>6.7</v>
      </c>
      <c r="ADQ44" s="90">
        <f t="shared" si="491"/>
        <v>0.73</v>
      </c>
      <c r="ADR44" s="90">
        <f t="shared" si="492"/>
        <v>18.62</v>
      </c>
      <c r="ADU44" s="90">
        <f t="shared" si="493"/>
        <v>1.1499999999999999</v>
      </c>
      <c r="ADV44" s="90">
        <f t="shared" si="494"/>
        <v>0</v>
      </c>
      <c r="ADW44" s="90">
        <f t="shared" si="495"/>
        <v>2.44</v>
      </c>
      <c r="ADX44" s="90">
        <f t="shared" si="496"/>
        <v>4.1100000000000003</v>
      </c>
      <c r="ADY44" s="90">
        <f t="shared" si="497"/>
        <v>10.46</v>
      </c>
      <c r="ADZ44" s="90">
        <f t="shared" si="498"/>
        <v>0</v>
      </c>
      <c r="AEA44" s="90">
        <f t="shared" si="499"/>
        <v>18.62</v>
      </c>
      <c r="AEB44" s="90">
        <f t="shared" si="500"/>
        <v>0</v>
      </c>
      <c r="AEC44" s="104">
        <f t="shared" si="501"/>
        <v>18.16</v>
      </c>
      <c r="AED44" s="104">
        <f t="shared" si="502"/>
        <v>0.46000000000000085</v>
      </c>
      <c r="AEG44" s="1">
        <v>6.45</v>
      </c>
      <c r="AEH44" s="1">
        <v>4.21</v>
      </c>
      <c r="AEI44" s="1">
        <v>0</v>
      </c>
      <c r="AEJ44" s="1">
        <v>2.2400000000000002</v>
      </c>
      <c r="AEK44" s="1">
        <v>0</v>
      </c>
      <c r="AEL44" s="1">
        <v>0</v>
      </c>
      <c r="AEM44" s="1">
        <v>0</v>
      </c>
      <c r="AEN44" s="1">
        <v>0</v>
      </c>
      <c r="AEO44" s="1">
        <v>0</v>
      </c>
      <c r="AEP44" s="1">
        <v>0</v>
      </c>
      <c r="AEQ44" s="1">
        <v>0</v>
      </c>
      <c r="AER44" s="1">
        <v>0</v>
      </c>
      <c r="AES44" s="1">
        <v>0</v>
      </c>
      <c r="AET44" s="1">
        <v>0</v>
      </c>
      <c r="AEU44" s="1">
        <v>0</v>
      </c>
      <c r="AEV44" s="1">
        <v>0.02</v>
      </c>
      <c r="AEW44" s="1">
        <v>3.91</v>
      </c>
      <c r="AEX44" s="1">
        <v>7.99</v>
      </c>
      <c r="AEY44" s="1">
        <v>7.26</v>
      </c>
      <c r="AEZ44" s="1">
        <v>5.75</v>
      </c>
      <c r="AFA44" s="1">
        <v>0</v>
      </c>
      <c r="AFB44" s="1">
        <v>5.75</v>
      </c>
      <c r="AFC44" s="1">
        <v>227</v>
      </c>
      <c r="AFD44" s="1">
        <v>230.38</v>
      </c>
      <c r="AFE44" s="1">
        <v>0.48</v>
      </c>
      <c r="AFF44" s="1">
        <v>0.17</v>
      </c>
      <c r="AFG44" s="1">
        <v>0.11989898989898991</v>
      </c>
      <c r="AFH44" s="1">
        <v>0.16759999999999997</v>
      </c>
      <c r="AFI44" s="1">
        <v>0.38175323599898991</v>
      </c>
      <c r="AFJ44" s="1">
        <v>0.65</v>
      </c>
      <c r="AFK44" s="1">
        <v>16.759999999999998</v>
      </c>
      <c r="AFL44" s="1">
        <v>16.759999999999998</v>
      </c>
      <c r="AFM44" s="1">
        <v>0</v>
      </c>
      <c r="AFO44" s="1">
        <v>16.759999999999998</v>
      </c>
      <c r="AFP44" s="1">
        <v>0</v>
      </c>
      <c r="AFQ44" s="1">
        <v>16.760000000000002</v>
      </c>
      <c r="AFX44" s="1">
        <v>18.61</v>
      </c>
    </row>
    <row r="45" spans="1:856" s="1" customFormat="1" ht="63.75" customHeight="1">
      <c r="A45" s="88">
        <v>37</v>
      </c>
      <c r="B45" s="20"/>
      <c r="C45" s="89" t="s">
        <v>532</v>
      </c>
      <c r="D45" s="20"/>
      <c r="E45" s="20" t="s">
        <v>437</v>
      </c>
      <c r="F45" s="20" t="s">
        <v>438</v>
      </c>
      <c r="G45" s="20">
        <v>0.8</v>
      </c>
      <c r="H45" s="20">
        <v>569.70000000000005</v>
      </c>
      <c r="I45" s="20">
        <f>569.7+0.1-1-0.6</f>
        <v>568.20000000000005</v>
      </c>
      <c r="J45" s="20">
        <f t="shared" si="0"/>
        <v>454.56000000000006</v>
      </c>
      <c r="K45" s="20">
        <v>12</v>
      </c>
      <c r="L45" s="20"/>
      <c r="M45" s="20"/>
      <c r="N45" s="20"/>
      <c r="O45" s="90">
        <f t="shared" si="1"/>
        <v>0</v>
      </c>
      <c r="P45" s="20"/>
      <c r="Q45" s="20"/>
      <c r="R45" s="90">
        <f t="shared" si="2"/>
        <v>0</v>
      </c>
      <c r="S45" s="20">
        <v>57.2</v>
      </c>
      <c r="T45" s="20">
        <v>2.6</v>
      </c>
      <c r="U45" s="20">
        <v>3.13</v>
      </c>
      <c r="V45" s="91">
        <f t="shared" si="3"/>
        <v>465.49</v>
      </c>
      <c r="W45" s="20">
        <v>2.1000000000000001E-2</v>
      </c>
      <c r="X45" s="20">
        <f t="shared" si="4"/>
        <v>33.42</v>
      </c>
      <c r="Y45" s="91">
        <f t="shared" si="5"/>
        <v>40.14</v>
      </c>
      <c r="Z45" s="20"/>
      <c r="AA45" s="20"/>
      <c r="AB45" s="20"/>
      <c r="AC45" s="91">
        <f t="shared" si="6"/>
        <v>505.64</v>
      </c>
      <c r="AD45" s="90">
        <f t="shared" si="7"/>
        <v>0.89</v>
      </c>
      <c r="AE45" s="92">
        <f t="shared" si="8"/>
        <v>6067.68</v>
      </c>
      <c r="AF45" s="20">
        <v>22</v>
      </c>
      <c r="AG45" s="20">
        <v>20</v>
      </c>
      <c r="AH45" s="20">
        <v>20</v>
      </c>
      <c r="AI45" s="20">
        <v>18</v>
      </c>
      <c r="AJ45" s="20">
        <v>1.6</v>
      </c>
      <c r="AK45" s="90">
        <f t="shared" si="9"/>
        <v>2.67</v>
      </c>
      <c r="AL45" s="90">
        <v>391.01</v>
      </c>
      <c r="AM45" s="90">
        <f t="shared" si="10"/>
        <v>1044</v>
      </c>
      <c r="AN45" s="20">
        <v>23</v>
      </c>
      <c r="AO45" s="20">
        <v>20</v>
      </c>
      <c r="AP45" s="20">
        <v>22</v>
      </c>
      <c r="AQ45" s="20">
        <v>23</v>
      </c>
      <c r="AR45" s="20">
        <v>20</v>
      </c>
      <c r="AS45" s="20">
        <v>23</v>
      </c>
      <c r="AT45" s="20">
        <f t="shared" si="11"/>
        <v>2</v>
      </c>
      <c r="AU45" s="20">
        <v>1.6</v>
      </c>
      <c r="AV45" s="90">
        <f t="shared" si="12"/>
        <v>2.93</v>
      </c>
      <c r="AW45" s="90">
        <f t="shared" si="551"/>
        <v>188.88</v>
      </c>
      <c r="AX45" s="90">
        <v>579.23</v>
      </c>
      <c r="AY45" s="90">
        <f t="shared" si="14"/>
        <v>1.02</v>
      </c>
      <c r="AZ45" s="90">
        <f t="shared" si="15"/>
        <v>1146.96</v>
      </c>
      <c r="BA45" s="90">
        <f t="shared" si="16"/>
        <v>-567.73</v>
      </c>
      <c r="BB45" s="90">
        <v>579.23</v>
      </c>
      <c r="BC45" s="90">
        <v>1.02</v>
      </c>
      <c r="BD45" s="92">
        <f t="shared" si="17"/>
        <v>6950.76</v>
      </c>
      <c r="BE45" s="90"/>
      <c r="BF45" s="90">
        <f t="shared" si="18"/>
        <v>0</v>
      </c>
      <c r="BG45" s="90">
        <v>391.01</v>
      </c>
      <c r="BH45" s="90">
        <f t="shared" si="19"/>
        <v>1145.6600000000001</v>
      </c>
      <c r="BI45" s="90">
        <f t="shared" si="20"/>
        <v>2.02</v>
      </c>
      <c r="BJ45" s="90">
        <f t="shared" si="21"/>
        <v>198.03921568627453</v>
      </c>
      <c r="BK45" s="90">
        <f t="shared" si="22"/>
        <v>1145.6600000000001</v>
      </c>
      <c r="BL45" s="90">
        <f t="shared" si="23"/>
        <v>2.02</v>
      </c>
      <c r="BM45" s="90"/>
      <c r="BN45" s="90">
        <f t="shared" si="24"/>
        <v>0</v>
      </c>
      <c r="BO45" s="90">
        <f t="shared" si="25"/>
        <v>1145.6600000000001</v>
      </c>
      <c r="BP45" s="90">
        <f t="shared" si="26"/>
        <v>2.0162970784934884</v>
      </c>
      <c r="BQ45" s="90"/>
      <c r="BR45" s="90">
        <f t="shared" si="27"/>
        <v>0</v>
      </c>
      <c r="BS45" s="90">
        <f t="shared" si="28"/>
        <v>1145.6600000000001</v>
      </c>
      <c r="BT45" s="90">
        <f t="shared" si="29"/>
        <v>2.0162970784934884</v>
      </c>
      <c r="BU45" s="90"/>
      <c r="BV45" s="93">
        <v>0.82054380000000005</v>
      </c>
      <c r="BW45" s="90">
        <f t="shared" si="30"/>
        <v>466.23298716000005</v>
      </c>
      <c r="BX45" s="90">
        <f t="shared" si="31"/>
        <v>494.2069663896001</v>
      </c>
      <c r="BY45" s="90"/>
      <c r="BZ45" s="90"/>
      <c r="CA45" s="90">
        <v>0.26506960299999999</v>
      </c>
      <c r="CB45" s="90">
        <f t="shared" si="556"/>
        <v>150.61254842459999</v>
      </c>
      <c r="CC45" s="90">
        <v>0.71072749999999996</v>
      </c>
      <c r="CD45" s="90">
        <f t="shared" si="33"/>
        <v>107.04448001044489</v>
      </c>
      <c r="CE45" s="90">
        <f t="shared" si="34"/>
        <v>161.86473509130158</v>
      </c>
      <c r="CF45" s="90">
        <v>158.1857078274497</v>
      </c>
      <c r="CG45" s="90">
        <f>I45*0.278104268</f>
        <v>158.01884507760002</v>
      </c>
      <c r="CH45" s="90">
        <f t="shared" si="35"/>
        <v>165.6</v>
      </c>
      <c r="CI45" s="90">
        <f t="shared" si="524"/>
        <v>173.79360578605596</v>
      </c>
      <c r="CJ45" s="90">
        <f t="shared" si="36"/>
        <v>174.71</v>
      </c>
      <c r="CK45" s="90">
        <f t="shared" si="37"/>
        <v>184.77092973519464</v>
      </c>
      <c r="CL45" s="90">
        <f t="shared" si="38"/>
        <v>184.77092973519464</v>
      </c>
      <c r="CM45" s="94">
        <v>0.14899999999999999</v>
      </c>
      <c r="CN45" s="90">
        <f t="shared" si="39"/>
        <v>69.468715086840007</v>
      </c>
      <c r="CO45" s="90">
        <f t="shared" si="40"/>
        <v>73.636837992050417</v>
      </c>
      <c r="CP45" s="90"/>
      <c r="CQ45" s="90">
        <v>3.9539251999999997E-2</v>
      </c>
      <c r="CR45" s="90">
        <f t="shared" si="557"/>
        <v>22.466202986399999</v>
      </c>
      <c r="CS45" s="90">
        <v>0.71072749999999996</v>
      </c>
      <c r="CT45" s="90">
        <f t="shared" si="42"/>
        <v>15.967348283016605</v>
      </c>
      <c r="CU45" s="90">
        <f t="shared" si="43"/>
        <v>24.144641551706769</v>
      </c>
      <c r="CV45" s="90">
        <f>I45*0.08594497</f>
        <v>48.833931954000001</v>
      </c>
      <c r="CW45" s="90">
        <f t="shared" si="44"/>
        <v>51.18</v>
      </c>
      <c r="CX45" s="90">
        <f t="shared" si="525"/>
        <v>53.712299179531065</v>
      </c>
      <c r="CY45" s="90">
        <f t="shared" si="45"/>
        <v>53.99</v>
      </c>
      <c r="CZ45" s="90">
        <f t="shared" si="46"/>
        <v>57.104928646420667</v>
      </c>
      <c r="DA45" s="90">
        <f t="shared" si="47"/>
        <v>57.104928646420667</v>
      </c>
      <c r="DB45" s="93">
        <v>0.80939899999999998</v>
      </c>
      <c r="DC45" s="90">
        <f t="shared" si="48"/>
        <v>459.9005118</v>
      </c>
      <c r="DD45" s="90">
        <f t="shared" si="49"/>
        <v>487.49454250800005</v>
      </c>
      <c r="DE45" s="90"/>
      <c r="DF45" s="90"/>
      <c r="DG45" s="90">
        <v>0.16261500000000001</v>
      </c>
      <c r="DH45" s="90">
        <f t="shared" si="558"/>
        <v>92.397843000000009</v>
      </c>
      <c r="DI45" s="90">
        <v>0.71072749999999996</v>
      </c>
      <c r="DJ45" s="90">
        <f t="shared" si="51"/>
        <v>65.669687960782497</v>
      </c>
      <c r="DK45" s="90">
        <f t="shared" si="52"/>
        <v>99.300838719225041</v>
      </c>
      <c r="DL45" s="90">
        <f>I45*0.138254157</f>
        <v>78.5560120074</v>
      </c>
      <c r="DM45" s="90">
        <f t="shared" si="53"/>
        <v>82.33</v>
      </c>
      <c r="DN45" s="90">
        <f t="shared" si="526"/>
        <v>86.4035480939975</v>
      </c>
      <c r="DO45" s="90">
        <f t="shared" si="54"/>
        <v>86.86</v>
      </c>
      <c r="DP45" s="90">
        <f t="shared" si="55"/>
        <v>91.861054620160459</v>
      </c>
      <c r="DQ45" s="90">
        <f t="shared" si="56"/>
        <v>91.861054620160459</v>
      </c>
      <c r="DR45" s="93">
        <v>3.1841000000000001E-2</v>
      </c>
      <c r="DS45" s="90">
        <f t="shared" si="57"/>
        <v>18.092056200000002</v>
      </c>
      <c r="DT45" s="90">
        <f t="shared" si="58"/>
        <v>19.177579572000003</v>
      </c>
      <c r="DU45" s="90"/>
      <c r="DV45" s="90">
        <v>6.1506199999999999E-3</v>
      </c>
      <c r="DW45" s="90">
        <f t="shared" si="559"/>
        <v>3.4947822840000002</v>
      </c>
      <c r="DX45" s="90">
        <v>0.71072749999999996</v>
      </c>
      <c r="DY45" s="90">
        <f t="shared" si="60"/>
        <v>2.4838378757516102</v>
      </c>
      <c r="DZ45" s="90">
        <f t="shared" si="61"/>
        <v>3.7558756857807705</v>
      </c>
      <c r="EA45" s="90">
        <f t="shared" si="62"/>
        <v>3.94</v>
      </c>
      <c r="EB45" s="90">
        <f t="shared" si="527"/>
        <v>4.1349444854894957</v>
      </c>
      <c r="EC45" s="90">
        <f t="shared" si="63"/>
        <v>4.16</v>
      </c>
      <c r="ED45" s="90">
        <f t="shared" si="64"/>
        <v>4.3961199465982297</v>
      </c>
      <c r="EE45" s="90">
        <f t="shared" si="65"/>
        <v>4.3961199465982297</v>
      </c>
      <c r="EF45" s="94">
        <v>0.85293354333000004</v>
      </c>
      <c r="EG45" s="90">
        <f t="shared" si="66"/>
        <v>387.70947145608488</v>
      </c>
      <c r="EH45" s="90">
        <f t="shared" si="67"/>
        <v>410.97203974345001</v>
      </c>
      <c r="EI45" s="90"/>
      <c r="EJ45" s="90">
        <v>0.58970610199999995</v>
      </c>
      <c r="EK45" s="90">
        <f t="shared" si="68"/>
        <v>268.05680572512</v>
      </c>
      <c r="EL45" s="90">
        <v>0.71072749999999996</v>
      </c>
      <c r="EM45" s="90">
        <f t="shared" si="69"/>
        <v>190.51534339100021</v>
      </c>
      <c r="EN45" s="90">
        <f t="shared" si="70"/>
        <v>288.08319294748884</v>
      </c>
      <c r="EO45" s="90">
        <f>J45*0.618073661</f>
        <v>280.95156334416004</v>
      </c>
      <c r="EP45" s="90">
        <f t="shared" si="71"/>
        <v>294.44</v>
      </c>
      <c r="EQ45" s="90">
        <f t="shared" si="528"/>
        <v>309.00838941815408</v>
      </c>
      <c r="ER45" s="90">
        <f t="shared" si="72"/>
        <v>310.63</v>
      </c>
      <c r="ES45" s="90">
        <f t="shared" si="73"/>
        <v>328.52628352192454</v>
      </c>
      <c r="ET45" s="90">
        <f t="shared" si="74"/>
        <v>328.52628352192454</v>
      </c>
      <c r="EU45" s="94">
        <v>0.14899999999999999</v>
      </c>
      <c r="EV45" s="90">
        <f t="shared" si="75"/>
        <v>57.768711246956649</v>
      </c>
      <c r="EW45" s="90">
        <f t="shared" si="76"/>
        <v>61.234833921774047</v>
      </c>
      <c r="EX45" s="90"/>
      <c r="EY45" s="90">
        <v>8.7874999999999995E-2</v>
      </c>
      <c r="EZ45" s="90">
        <f t="shared" si="77"/>
        <v>39.944459999999999</v>
      </c>
      <c r="FA45" s="90">
        <v>0.71072749999999996</v>
      </c>
      <c r="FB45" s="90">
        <f t="shared" si="78"/>
        <v>28.389626194649999</v>
      </c>
      <c r="FC45" s="90">
        <f t="shared" si="79"/>
        <v>42.928690231291824</v>
      </c>
      <c r="FD45" s="90">
        <f>J45*0.19114352</f>
        <v>86.886198451200016</v>
      </c>
      <c r="FE45" s="90">
        <f t="shared" si="80"/>
        <v>91.06</v>
      </c>
      <c r="FF45" s="90">
        <f t="shared" si="529"/>
        <v>95.565493616414599</v>
      </c>
      <c r="FG45" s="90">
        <f t="shared" si="81"/>
        <v>96.07</v>
      </c>
      <c r="FH45" s="90">
        <f t="shared" si="82"/>
        <v>101.60169602467889</v>
      </c>
      <c r="FI45" s="90">
        <f t="shared" si="83"/>
        <v>101.60169602467889</v>
      </c>
      <c r="FJ45" s="93">
        <v>0.49981642240000002</v>
      </c>
      <c r="FK45" s="90">
        <f t="shared" si="84"/>
        <v>227.19655296614403</v>
      </c>
      <c r="FL45" s="90">
        <f t="shared" si="85"/>
        <v>240.82834614411269</v>
      </c>
      <c r="FM45" s="90"/>
      <c r="FN45" s="90">
        <v>0.35816899099999999</v>
      </c>
      <c r="FO45" s="90">
        <f t="shared" si="86"/>
        <v>162.80929654896002</v>
      </c>
      <c r="FP45" s="90">
        <v>0.71072749999999996</v>
      </c>
      <c r="FQ45" s="90">
        <f t="shared" si="87"/>
        <v>115.71304431300098</v>
      </c>
      <c r="FR45" s="90">
        <f t="shared" si="88"/>
        <v>174.97269604658152</v>
      </c>
      <c r="FS45" s="90">
        <f>J45*0.303440332</f>
        <v>137.93183731392</v>
      </c>
      <c r="FT45" s="90">
        <f t="shared" si="89"/>
        <v>144.55000000000001</v>
      </c>
      <c r="FU45" s="90">
        <f>J45*0.303696418</f>
        <v>138.04824376608002</v>
      </c>
      <c r="FV45" s="90">
        <f t="shared" si="90"/>
        <v>144.66999999999999</v>
      </c>
      <c r="FW45" s="90">
        <f t="shared" si="530"/>
        <v>151.82802505476278</v>
      </c>
      <c r="FX45" s="90">
        <f t="shared" si="91"/>
        <v>152.63</v>
      </c>
      <c r="FY45" s="90">
        <f t="shared" si="92"/>
        <v>161.4179372269964</v>
      </c>
      <c r="FZ45" s="90">
        <f t="shared" si="93"/>
        <v>161.4179372269964</v>
      </c>
      <c r="GA45" s="94">
        <v>1.352261642E-2</v>
      </c>
      <c r="GB45" s="90">
        <f t="shared" si="94"/>
        <v>6.1468405198752007</v>
      </c>
      <c r="GC45" s="90">
        <f t="shared" si="95"/>
        <v>6.5156509510677134</v>
      </c>
      <c r="GD45" s="90"/>
      <c r="GE45" s="90">
        <v>1.0795000000000001E-2</v>
      </c>
      <c r="GF45" s="90">
        <f t="shared" si="96"/>
        <v>4.9069752000000006</v>
      </c>
      <c r="GG45" s="90">
        <v>0.71072749999999996</v>
      </c>
      <c r="GH45" s="90">
        <f t="shared" si="97"/>
        <v>3.4875222164580002</v>
      </c>
      <c r="GI45" s="90">
        <f t="shared" si="98"/>
        <v>5.2735728141882818</v>
      </c>
      <c r="GJ45" s="90">
        <f t="shared" si="99"/>
        <v>5.53</v>
      </c>
      <c r="GK45" s="90">
        <f t="shared" si="531"/>
        <v>5.803614975826628</v>
      </c>
      <c r="GL45" s="90">
        <f t="shared" si="100"/>
        <v>5.83</v>
      </c>
      <c r="GM45" s="90">
        <f t="shared" si="101"/>
        <v>6.170188656012237</v>
      </c>
      <c r="GN45" s="90">
        <f t="shared" si="102"/>
        <v>6.170188656012237</v>
      </c>
      <c r="GO45" s="90"/>
      <c r="GP45" s="90">
        <f t="shared" si="103"/>
        <v>0</v>
      </c>
      <c r="GQ45" s="90"/>
      <c r="GR45" s="90">
        <f t="shared" si="104"/>
        <v>0</v>
      </c>
      <c r="GS45" s="90">
        <f t="shared" si="105"/>
        <v>0</v>
      </c>
      <c r="GT45" s="90">
        <f t="shared" si="106"/>
        <v>0</v>
      </c>
      <c r="GU45" s="90"/>
      <c r="GV45" s="90"/>
      <c r="GW45" s="90">
        <f t="shared" si="107"/>
        <v>0</v>
      </c>
      <c r="GX45" s="90">
        <f t="shared" si="108"/>
        <v>0</v>
      </c>
      <c r="GY45" s="90"/>
      <c r="GZ45" s="90"/>
      <c r="HA45" s="90">
        <f t="shared" si="109"/>
        <v>0</v>
      </c>
      <c r="HB45" s="90">
        <f t="shared" si="110"/>
        <v>0</v>
      </c>
      <c r="HC45" s="90"/>
      <c r="HD45" s="90"/>
      <c r="HE45" s="90">
        <f t="shared" si="111"/>
        <v>0</v>
      </c>
      <c r="HF45" s="90">
        <f t="shared" si="112"/>
        <v>0</v>
      </c>
      <c r="HG45" s="90"/>
      <c r="HH45" s="90"/>
      <c r="HI45" s="90">
        <v>0.96</v>
      </c>
      <c r="HJ45" s="90">
        <f t="shared" si="113"/>
        <v>545.47199999999998</v>
      </c>
      <c r="HK45" s="90">
        <f t="shared" si="114"/>
        <v>1.0060718057022173</v>
      </c>
      <c r="HL45" s="90">
        <f t="shared" si="115"/>
        <v>571.65</v>
      </c>
      <c r="HM45" s="90">
        <v>1.07</v>
      </c>
      <c r="HN45" s="90">
        <f t="shared" si="116"/>
        <v>607.97400000000005</v>
      </c>
      <c r="HO45" s="90">
        <v>1.1499999999999999</v>
      </c>
      <c r="HP45" s="90">
        <f t="shared" si="117"/>
        <v>653.42999999999995</v>
      </c>
      <c r="HQ45" s="90">
        <v>1.1499999999999999</v>
      </c>
      <c r="HR45" s="90">
        <f t="shared" si="118"/>
        <v>653.42999999999995</v>
      </c>
      <c r="HS45" s="90">
        <v>0.31922129999999999</v>
      </c>
      <c r="HT45" s="90">
        <f>$I45*HS45</f>
        <v>181.38154266000001</v>
      </c>
      <c r="HU45" s="90" t="e">
        <f>HT45*#REF!</f>
        <v>#REF!</v>
      </c>
      <c r="HV45" s="20">
        <v>2.5</v>
      </c>
      <c r="HW45" s="90">
        <v>3.1</v>
      </c>
      <c r="HX45" s="90">
        <f t="shared" si="120"/>
        <v>1761.4200000000003</v>
      </c>
      <c r="HY45" s="90">
        <v>1.06</v>
      </c>
      <c r="HZ45" s="90">
        <f t="shared" si="121"/>
        <v>1867.1052000000004</v>
      </c>
      <c r="IA45" s="90">
        <f t="shared" si="122"/>
        <v>3.29</v>
      </c>
      <c r="IB45" s="90">
        <f t="shared" si="123"/>
        <v>3.45</v>
      </c>
      <c r="IC45" s="90">
        <f t="shared" si="124"/>
        <v>1960.2900000000002</v>
      </c>
      <c r="ID45" s="90">
        <f t="shared" si="125"/>
        <v>3.64</v>
      </c>
      <c r="IE45" s="90">
        <f t="shared" si="126"/>
        <v>2068.25</v>
      </c>
      <c r="IF45" s="90">
        <f t="shared" si="127"/>
        <v>3.64</v>
      </c>
      <c r="IG45" s="92">
        <f t="shared" si="128"/>
        <v>24819</v>
      </c>
      <c r="IH45" s="90">
        <v>3.91</v>
      </c>
      <c r="II45" s="90">
        <f t="shared" si="129"/>
        <v>4.1100000000000003</v>
      </c>
      <c r="IJ45" s="90">
        <f t="shared" si="130"/>
        <v>2335.3000000000002</v>
      </c>
      <c r="IK45" s="90">
        <f t="shared" si="131"/>
        <v>4.1100000000000003</v>
      </c>
      <c r="IL45" s="90">
        <f t="shared" si="132"/>
        <v>2335.3000000000002</v>
      </c>
      <c r="IM45" s="90">
        <f t="shared" si="133"/>
        <v>4.1100000000000003</v>
      </c>
      <c r="IN45" s="90">
        <f t="shared" si="134"/>
        <v>2335.3000000000002</v>
      </c>
      <c r="IO45" s="90">
        <f t="shared" si="135"/>
        <v>4.1100000000000003</v>
      </c>
      <c r="IP45" s="93">
        <v>0.37052404126999999</v>
      </c>
      <c r="IQ45" s="90">
        <f t="shared" si="136"/>
        <v>168.42540819969122</v>
      </c>
      <c r="IR45" s="90">
        <f t="shared" si="137"/>
        <v>178.53093269167269</v>
      </c>
      <c r="IS45" s="90">
        <v>108693.96</v>
      </c>
      <c r="IT45" s="90">
        <v>3053.33</v>
      </c>
      <c r="IU45" s="94"/>
      <c r="IV45" s="94"/>
      <c r="IW45" s="94">
        <v>1.6976990999999999</v>
      </c>
      <c r="IX45" s="90">
        <f t="shared" si="138"/>
        <v>771.70610289600006</v>
      </c>
      <c r="IY45" s="93">
        <v>0.56339614052999998</v>
      </c>
      <c r="IZ45" s="90">
        <f t="shared" si="139"/>
        <v>320.12168704914603</v>
      </c>
      <c r="JA45" s="90">
        <f t="shared" si="140"/>
        <v>335.49</v>
      </c>
      <c r="JB45" s="90">
        <f t="shared" si="532"/>
        <v>352.08947346113479</v>
      </c>
      <c r="JC45" s="90">
        <f t="shared" si="141"/>
        <v>353.94</v>
      </c>
      <c r="JD45" s="90">
        <f t="shared" si="142"/>
        <v>374.32849768635538</v>
      </c>
      <c r="JE45" s="90">
        <f t="shared" si="143"/>
        <v>374.32849768635538</v>
      </c>
      <c r="JF45" s="93">
        <v>4.2278943710000003E-2</v>
      </c>
      <c r="JG45" s="90">
        <f t="shared" si="144"/>
        <v>19.218316652817602</v>
      </c>
      <c r="JH45" s="90">
        <f t="shared" si="145"/>
        <v>20.371415651986659</v>
      </c>
      <c r="JI45" s="20">
        <v>462.98</v>
      </c>
      <c r="JJ45" s="20"/>
      <c r="JK45" s="20">
        <v>6.0564350000000003E-2</v>
      </c>
      <c r="JL45" s="90">
        <f t="shared" si="146"/>
        <v>27.530130936000006</v>
      </c>
      <c r="JM45" s="93">
        <v>6.7347080040000007E-2</v>
      </c>
      <c r="JN45" s="90">
        <f t="shared" si="147"/>
        <v>38.266610878728009</v>
      </c>
      <c r="JO45" s="90">
        <f t="shared" si="148"/>
        <v>40.1</v>
      </c>
      <c r="JP45" s="90">
        <f t="shared" si="533"/>
        <v>42.084079661961624</v>
      </c>
      <c r="JQ45" s="90">
        <f t="shared" si="149"/>
        <v>42.31</v>
      </c>
      <c r="JR45" s="90">
        <f t="shared" si="150"/>
        <v>44.742236004718031</v>
      </c>
      <c r="JS45" s="90">
        <f t="shared" si="151"/>
        <v>44.742236004718031</v>
      </c>
      <c r="JT45" s="93">
        <v>7.3220517000000002E-3</v>
      </c>
      <c r="JU45" s="90">
        <f t="shared" si="152"/>
        <v>3.3283118207520004</v>
      </c>
      <c r="JV45" s="90">
        <f t="shared" si="153"/>
        <v>3.49</v>
      </c>
      <c r="JW45" s="90">
        <f t="shared" si="534"/>
        <v>3.6626792523752134</v>
      </c>
      <c r="JX45" s="90">
        <f t="shared" si="154"/>
        <v>3.68</v>
      </c>
      <c r="JY45" s="90">
        <f t="shared" si="155"/>
        <v>3.8940250288395486</v>
      </c>
      <c r="JZ45" s="90">
        <f t="shared" si="156"/>
        <v>3.8940250288395486</v>
      </c>
      <c r="KA45" s="90">
        <v>8.3090999999999998E-3</v>
      </c>
      <c r="KB45" s="90">
        <f t="shared" si="157"/>
        <v>3.7769844960000003</v>
      </c>
      <c r="KC45" s="90" t="e">
        <f>KB45*#REF!</f>
        <v>#REF!</v>
      </c>
      <c r="KD45" s="90">
        <v>16587.36</v>
      </c>
      <c r="KE45" s="90">
        <v>17977.669999999998</v>
      </c>
      <c r="KF45" s="90"/>
      <c r="KG45" s="90">
        <f t="shared" si="550"/>
        <v>615.82506764186701</v>
      </c>
      <c r="KH45" s="90" t="e">
        <f>KG45/(BW45+#REF!)*(CB45+#REF!)</f>
        <v>#REF!</v>
      </c>
      <c r="KI45" s="90">
        <v>0.8</v>
      </c>
      <c r="KJ45" s="94"/>
      <c r="KK45" s="90">
        <f t="shared" si="159"/>
        <v>0</v>
      </c>
      <c r="KL45" s="93">
        <v>1.1147001000000001</v>
      </c>
      <c r="KM45" s="90">
        <f>$I45*KL45</f>
        <v>633.37259682000013</v>
      </c>
      <c r="KN45" s="90">
        <f t="shared" si="161"/>
        <v>671.37495262920015</v>
      </c>
      <c r="KO45" s="90" t="e">
        <f>BW45+CN45+DC45+DS45+EG45+EV45+FK45+GB45+#REF!+#REF!+HJ45+HX45+IQ45+JG45+JU45+KK45+KM45</f>
        <v>#REF!</v>
      </c>
      <c r="KP45" s="90"/>
      <c r="KQ45" s="90">
        <v>0.50814739200000003</v>
      </c>
      <c r="KR45" s="90">
        <f t="shared" si="560"/>
        <v>288.72934813440003</v>
      </c>
      <c r="KS45" s="90">
        <v>0.71072749999999996</v>
      </c>
      <c r="KT45" s="90">
        <f t="shared" si="163"/>
        <v>205.2078877761918</v>
      </c>
      <c r="KU45" s="90">
        <f t="shared" si="164"/>
        <v>310.30017045528905</v>
      </c>
      <c r="KV45" s="90">
        <f t="shared" si="165"/>
        <v>325.19</v>
      </c>
      <c r="KW45" s="90">
        <f t="shared" si="535"/>
        <v>341.27984701429676</v>
      </c>
      <c r="KX45" s="90">
        <f t="shared" si="166"/>
        <v>343.08</v>
      </c>
      <c r="KY45" s="90">
        <f t="shared" si="167"/>
        <v>362.83610290210112</v>
      </c>
      <c r="KZ45" s="90">
        <f t="shared" si="168"/>
        <v>362.83610290210112</v>
      </c>
      <c r="LA45" s="90">
        <f t="shared" si="169"/>
        <v>2227.3400000000006</v>
      </c>
      <c r="LB45" s="90">
        <f t="shared" si="170"/>
        <v>3.92</v>
      </c>
      <c r="LC45" s="92">
        <f t="shared" si="171"/>
        <v>26728.080000000009</v>
      </c>
      <c r="LD45" s="92">
        <v>4.21</v>
      </c>
      <c r="LE45" s="92">
        <v>2392.12</v>
      </c>
      <c r="LF45" s="90">
        <f t="shared" si="172"/>
        <v>4.18</v>
      </c>
      <c r="LG45" s="90">
        <f t="shared" si="173"/>
        <v>2375.08</v>
      </c>
      <c r="LH45" s="90">
        <f t="shared" si="174"/>
        <v>2394.3905000000004</v>
      </c>
      <c r="LI45" s="90">
        <f t="shared" si="175"/>
        <v>4.21</v>
      </c>
      <c r="LJ45" s="90">
        <f t="shared" si="176"/>
        <v>2375.08</v>
      </c>
      <c r="LK45" s="90">
        <f t="shared" si="177"/>
        <v>4.18</v>
      </c>
      <c r="LL45" s="90">
        <f t="shared" si="178"/>
        <v>2375.08</v>
      </c>
      <c r="LM45" s="90">
        <f t="shared" si="179"/>
        <v>4.18</v>
      </c>
      <c r="LN45" s="95">
        <v>0.46</v>
      </c>
      <c r="LO45" s="95">
        <f t="shared" si="180"/>
        <v>261.37</v>
      </c>
      <c r="LP45" s="95"/>
      <c r="LQ45" s="95">
        <f t="shared" si="181"/>
        <v>0</v>
      </c>
      <c r="LR45" s="90"/>
      <c r="LS45" s="90"/>
      <c r="LT45" s="90">
        <f t="shared" si="182"/>
        <v>0</v>
      </c>
      <c r="LU45" s="90"/>
      <c r="LV45" s="90">
        <f t="shared" si="183"/>
        <v>0</v>
      </c>
      <c r="LW45" s="90">
        <f t="shared" si="184"/>
        <v>0</v>
      </c>
      <c r="LX45" s="90"/>
      <c r="LY45" s="90"/>
      <c r="LZ45" s="90">
        <f t="shared" si="185"/>
        <v>0</v>
      </c>
      <c r="MA45" s="90"/>
      <c r="MB45" s="90">
        <f t="shared" si="186"/>
        <v>0</v>
      </c>
      <c r="MC45" s="90">
        <f t="shared" si="187"/>
        <v>0</v>
      </c>
      <c r="MD45" s="90"/>
      <c r="ME45" s="90"/>
      <c r="MF45" s="90">
        <f t="shared" si="188"/>
        <v>0</v>
      </c>
      <c r="MG45" s="90"/>
      <c r="MH45" s="90">
        <f t="shared" si="189"/>
        <v>0</v>
      </c>
      <c r="MI45" s="90">
        <f t="shared" si="190"/>
        <v>0</v>
      </c>
      <c r="MJ45" s="90"/>
      <c r="MK45" s="90"/>
      <c r="ML45" s="90">
        <f t="shared" si="191"/>
        <v>0</v>
      </c>
      <c r="MM45" s="90"/>
      <c r="MN45" s="90">
        <f t="shared" si="192"/>
        <v>0</v>
      </c>
      <c r="MO45" s="90">
        <f t="shared" si="193"/>
        <v>0</v>
      </c>
      <c r="MP45" s="90">
        <f t="shared" si="194"/>
        <v>0</v>
      </c>
      <c r="MQ45" s="90">
        <f t="shared" si="195"/>
        <v>0</v>
      </c>
      <c r="MR45" s="90">
        <f t="shared" si="196"/>
        <v>0</v>
      </c>
      <c r="MS45" s="90">
        <f t="shared" si="197"/>
        <v>0</v>
      </c>
      <c r="MT45" s="95"/>
      <c r="MU45" s="95">
        <f t="shared" si="198"/>
        <v>0</v>
      </c>
      <c r="MV45" s="92">
        <f t="shared" si="199"/>
        <v>0</v>
      </c>
      <c r="MW45" s="95"/>
      <c r="MX45" s="95">
        <f t="shared" si="200"/>
        <v>0</v>
      </c>
      <c r="MY45" s="95"/>
      <c r="MZ45" s="95">
        <f t="shared" si="201"/>
        <v>0</v>
      </c>
      <c r="NA45" s="95"/>
      <c r="NB45" s="95">
        <f t="shared" si="202"/>
        <v>0</v>
      </c>
      <c r="NC45" s="92">
        <f t="shared" si="203"/>
        <v>0</v>
      </c>
      <c r="ND45" s="95"/>
      <c r="NE45" s="95">
        <f t="shared" si="204"/>
        <v>0</v>
      </c>
      <c r="NF45" s="95"/>
      <c r="NG45" s="95">
        <f t="shared" si="205"/>
        <v>0</v>
      </c>
      <c r="NH45" s="95"/>
      <c r="NI45" s="95"/>
      <c r="NJ45" s="95">
        <f t="shared" si="206"/>
        <v>0</v>
      </c>
      <c r="NK45" s="92">
        <f t="shared" si="207"/>
        <v>0</v>
      </c>
      <c r="NL45" s="95"/>
      <c r="NM45" s="95">
        <f t="shared" si="208"/>
        <v>0</v>
      </c>
      <c r="NN45" s="95"/>
      <c r="NO45" s="95">
        <f t="shared" si="209"/>
        <v>0</v>
      </c>
      <c r="NP45" s="95"/>
      <c r="NQ45" s="95">
        <f t="shared" si="210"/>
        <v>0</v>
      </c>
      <c r="NR45" s="92">
        <f t="shared" si="211"/>
        <v>0</v>
      </c>
      <c r="NS45" s="95"/>
      <c r="NT45" s="95">
        <f t="shared" si="212"/>
        <v>0</v>
      </c>
      <c r="NU45" s="95"/>
      <c r="NV45" s="95">
        <f t="shared" si="213"/>
        <v>0</v>
      </c>
      <c r="NW45" s="95"/>
      <c r="NX45" s="95">
        <f t="shared" si="214"/>
        <v>0</v>
      </c>
      <c r="NY45" s="92">
        <f t="shared" si="215"/>
        <v>0</v>
      </c>
      <c r="NZ45" s="95"/>
      <c r="OA45" s="95">
        <f t="shared" si="216"/>
        <v>0</v>
      </c>
      <c r="OB45" s="95"/>
      <c r="OC45" s="95">
        <f t="shared" si="217"/>
        <v>0</v>
      </c>
      <c r="OD45" s="90">
        <v>3545.57</v>
      </c>
      <c r="OE45" s="90">
        <f t="shared" si="218"/>
        <v>6.24</v>
      </c>
      <c r="OF45" s="92">
        <f t="shared" si="219"/>
        <v>42546.840000000004</v>
      </c>
      <c r="OG45" s="96">
        <v>579.23</v>
      </c>
      <c r="OH45" s="96">
        <v>1.02</v>
      </c>
      <c r="OI45" s="111">
        <v>4312.6400000000003</v>
      </c>
      <c r="OJ45" s="90">
        <f t="shared" si="220"/>
        <v>7.59</v>
      </c>
      <c r="OK45" s="90">
        <f t="shared" si="221"/>
        <v>4124.8</v>
      </c>
      <c r="OL45" s="90">
        <f t="shared" si="222"/>
        <v>7.26</v>
      </c>
      <c r="OM45" s="90">
        <f t="shared" si="223"/>
        <v>0.33000000000000007</v>
      </c>
      <c r="ON45" s="90">
        <v>3733.07</v>
      </c>
      <c r="OO45" s="90">
        <f t="shared" si="224"/>
        <v>6.57</v>
      </c>
      <c r="OP45" s="90">
        <v>3733.4100000000003</v>
      </c>
      <c r="OQ45" s="90">
        <v>6.57</v>
      </c>
      <c r="OR45" s="90">
        <f t="shared" si="225"/>
        <v>0</v>
      </c>
      <c r="OS45" s="90">
        <f t="shared" si="226"/>
        <v>6.57</v>
      </c>
      <c r="OT45" s="90">
        <v>3733.07</v>
      </c>
      <c r="OU45" s="90">
        <f t="shared" si="227"/>
        <v>6.57</v>
      </c>
      <c r="OV45" s="97">
        <v>3164.87</v>
      </c>
      <c r="OW45" s="90">
        <f t="shared" si="228"/>
        <v>3312.61</v>
      </c>
      <c r="OX45" s="90">
        <f t="shared" si="229"/>
        <v>5.83</v>
      </c>
      <c r="OY45" s="90">
        <f>OU45-1+0.26</f>
        <v>5.83</v>
      </c>
      <c r="OZ45" s="90"/>
      <c r="PA45" s="90"/>
      <c r="PB45" s="95">
        <f t="shared" si="230"/>
        <v>0</v>
      </c>
      <c r="PC45" s="92">
        <f t="shared" si="231"/>
        <v>0</v>
      </c>
      <c r="PD45" s="90"/>
      <c r="PE45" s="95">
        <f t="shared" si="232"/>
        <v>0</v>
      </c>
      <c r="PF45" s="90">
        <f t="shared" si="233"/>
        <v>8420.3900000000012</v>
      </c>
      <c r="PG45" s="90">
        <f t="shared" si="234"/>
        <v>14.82</v>
      </c>
      <c r="PH45" s="90">
        <f t="shared" si="235"/>
        <v>9430.02</v>
      </c>
      <c r="PI45" s="90">
        <f t="shared" si="236"/>
        <v>16.600000000000001</v>
      </c>
      <c r="PJ45" s="90">
        <f t="shared" si="237"/>
        <v>9430.02</v>
      </c>
      <c r="PK45" s="90">
        <f t="shared" si="238"/>
        <v>16.600000000000001</v>
      </c>
      <c r="PL45" s="90"/>
      <c r="PM45" s="90">
        <f t="shared" si="239"/>
        <v>252.61</v>
      </c>
      <c r="PN45" s="90">
        <f t="shared" si="240"/>
        <v>0.44</v>
      </c>
      <c r="PO45" s="92">
        <f t="shared" si="241"/>
        <v>3031.32</v>
      </c>
      <c r="PP45" s="90">
        <f t="shared" si="242"/>
        <v>282.89999999999998</v>
      </c>
      <c r="PQ45" s="90">
        <f t="shared" si="243"/>
        <v>0.5</v>
      </c>
      <c r="PR45" s="90">
        <f t="shared" si="244"/>
        <v>282.89999999999998</v>
      </c>
      <c r="PS45" s="90">
        <f t="shared" si="245"/>
        <v>0.5</v>
      </c>
      <c r="PT45" s="90">
        <f t="shared" si="246"/>
        <v>8673.0000000000018</v>
      </c>
      <c r="PU45" s="90">
        <f t="shared" si="247"/>
        <v>15.26</v>
      </c>
      <c r="PV45" s="90">
        <f t="shared" si="248"/>
        <v>9712.92</v>
      </c>
      <c r="PW45" s="90">
        <f t="shared" si="249"/>
        <v>17.09</v>
      </c>
      <c r="PX45" s="90">
        <f t="shared" si="250"/>
        <v>9712.92</v>
      </c>
      <c r="PY45" s="90">
        <f t="shared" si="251"/>
        <v>17.09</v>
      </c>
      <c r="PZ45" s="90">
        <f t="shared" si="252"/>
        <v>87.61</v>
      </c>
      <c r="QA45" s="90">
        <f t="shared" si="253"/>
        <v>0.15</v>
      </c>
      <c r="QB45" s="92">
        <f t="shared" si="254"/>
        <v>1051.32</v>
      </c>
      <c r="QC45" s="90">
        <f t="shared" si="255"/>
        <v>98.11</v>
      </c>
      <c r="QD45" s="90">
        <f t="shared" si="256"/>
        <v>0.17</v>
      </c>
      <c r="QE45" s="90">
        <f t="shared" si="257"/>
        <v>98.11</v>
      </c>
      <c r="QF45" s="90">
        <f t="shared" si="258"/>
        <v>0.17</v>
      </c>
      <c r="QG45" s="90">
        <f t="shared" si="259"/>
        <v>8760.6100000000024</v>
      </c>
      <c r="QH45" s="90">
        <f t="shared" si="260"/>
        <v>15.42</v>
      </c>
      <c r="QI45" s="92">
        <f t="shared" si="261"/>
        <v>105127.32000000004</v>
      </c>
      <c r="QJ45" s="90">
        <f t="shared" si="262"/>
        <v>356.69984701429678</v>
      </c>
      <c r="QK45" s="98">
        <f t="shared" si="263"/>
        <v>0.21869999999999998</v>
      </c>
      <c r="QL45" s="90">
        <f t="shared" si="264"/>
        <v>124.26533999999999</v>
      </c>
      <c r="QM45" s="90">
        <f t="shared" si="265"/>
        <v>0.14579999999999999</v>
      </c>
      <c r="QN45" s="90">
        <f t="shared" si="266"/>
        <v>82.843559999999997</v>
      </c>
      <c r="QO45" s="90">
        <v>0.21869999999999998</v>
      </c>
      <c r="QP45" s="90">
        <v>0.14579999999999999</v>
      </c>
      <c r="QQ45" s="97">
        <f t="shared" si="267"/>
        <v>207.10890000000001</v>
      </c>
      <c r="QR45" s="97">
        <v>207.10890000000001</v>
      </c>
      <c r="QS45" s="97">
        <f t="shared" si="268"/>
        <v>0</v>
      </c>
      <c r="QT45" s="90"/>
      <c r="QU45" s="90">
        <f t="shared" si="269"/>
        <v>0.14579999999999999</v>
      </c>
      <c r="QV45" s="90">
        <f t="shared" si="270"/>
        <v>82.843559999999997</v>
      </c>
      <c r="QW45" s="90">
        <f t="shared" si="271"/>
        <v>207.10890000000001</v>
      </c>
      <c r="QX45" s="90">
        <f t="shared" si="272"/>
        <v>0.36449999999999999</v>
      </c>
      <c r="QY45" s="90"/>
      <c r="QZ45" s="90"/>
      <c r="RA45" s="90"/>
      <c r="RB45" s="90">
        <v>2114.6699999999996</v>
      </c>
      <c r="RC45" s="97">
        <f t="shared" si="273"/>
        <v>8760.6100000000024</v>
      </c>
      <c r="RD45" s="97">
        <f t="shared" si="274"/>
        <v>15.42</v>
      </c>
      <c r="RE45" s="90">
        <f t="shared" si="275"/>
        <v>9811.0300000000007</v>
      </c>
      <c r="RF45" s="90">
        <f t="shared" si="276"/>
        <v>17.27</v>
      </c>
      <c r="RG45" s="90">
        <f t="shared" si="277"/>
        <v>112.07008436080469</v>
      </c>
      <c r="RH45" s="90">
        <f t="shared" si="278"/>
        <v>9811.0300000000007</v>
      </c>
      <c r="RI45" s="90">
        <f t="shared" si="279"/>
        <v>17.27</v>
      </c>
      <c r="RJ45" s="90">
        <v>17</v>
      </c>
      <c r="RK45" s="90">
        <v>0</v>
      </c>
      <c r="RL45" s="90">
        <f t="shared" si="280"/>
        <v>0.26999999999999957</v>
      </c>
      <c r="RM45" s="90">
        <f t="shared" si="281"/>
        <v>105.1125989044431</v>
      </c>
      <c r="RN45" s="90">
        <f t="shared" si="282"/>
        <v>5380.4600000000009</v>
      </c>
      <c r="RO45" s="90"/>
      <c r="RP45" s="90"/>
      <c r="RQ45" s="99">
        <v>3553</v>
      </c>
      <c r="RR45" s="90">
        <f t="shared" si="283"/>
        <v>5215.04</v>
      </c>
      <c r="RS45" s="90">
        <f t="shared" si="284"/>
        <v>9.1781766983456521</v>
      </c>
      <c r="RT45" s="90">
        <f>11.28+3.3</f>
        <v>14.579999999999998</v>
      </c>
      <c r="RU45" s="90">
        <f t="shared" si="285"/>
        <v>8284.3559999999998</v>
      </c>
      <c r="RV45" s="90">
        <f t="shared" si="286"/>
        <v>0.6277716420526166</v>
      </c>
      <c r="RW45" s="90">
        <v>10.43</v>
      </c>
      <c r="RX45" s="90">
        <f t="shared" si="287"/>
        <v>10.951499999999999</v>
      </c>
      <c r="RY45" s="90">
        <f t="shared" si="288"/>
        <v>6222.6423000000004</v>
      </c>
      <c r="RZ45" s="90">
        <f t="shared" si="289"/>
        <v>1641.6673877699227</v>
      </c>
      <c r="SA45" s="90">
        <f t="shared" si="290"/>
        <v>734.47877802129676</v>
      </c>
      <c r="SB45" s="90">
        <f t="shared" si="291"/>
        <v>1110.624413542854</v>
      </c>
      <c r="SC45" s="90">
        <f t="shared" si="292"/>
        <v>2017.8130232914796</v>
      </c>
      <c r="SD45" s="90">
        <f t="shared" si="293"/>
        <v>2017.81302329148</v>
      </c>
      <c r="SE45" s="90">
        <f t="shared" si="294"/>
        <v>2048.217073781484</v>
      </c>
      <c r="SF45" s="90">
        <f t="shared" si="295"/>
        <v>2017.8634796020137</v>
      </c>
      <c r="SG45" s="90">
        <f t="shared" si="296"/>
        <v>-5.0456310534173099E-2</v>
      </c>
      <c r="SH45" s="90">
        <f t="shared" si="297"/>
        <v>2017.9798860541737</v>
      </c>
      <c r="SI45" s="90">
        <f t="shared" si="298"/>
        <v>3.5512372813999997</v>
      </c>
      <c r="SJ45" s="90">
        <f t="shared" si="299"/>
        <v>3.5513260816649308</v>
      </c>
      <c r="SK45" s="90"/>
      <c r="SL45" s="90"/>
      <c r="SM45" s="90"/>
      <c r="SN45" s="90">
        <f t="shared" si="300"/>
        <v>2160.2799999999997</v>
      </c>
      <c r="SO45" s="90" t="e">
        <f>RU45-#REF!-#REF!-HZ45-LT45-LZ45-MF45-ML45-QL45-QN45-SD45</f>
        <v>#REF!</v>
      </c>
      <c r="SP45" s="90">
        <f t="shared" si="301"/>
        <v>2114.6699999999996</v>
      </c>
      <c r="SQ45" s="90">
        <f t="shared" si="302"/>
        <v>2227.3400000000006</v>
      </c>
      <c r="SR45" s="90">
        <f t="shared" si="303"/>
        <v>3.7217001055966201</v>
      </c>
      <c r="SS45" s="90">
        <f t="shared" si="304"/>
        <v>3.9199929602252737</v>
      </c>
      <c r="ST45" s="90">
        <f t="shared" si="305"/>
        <v>2235.8640000000005</v>
      </c>
      <c r="SU45" s="90">
        <v>3.7217001055966201</v>
      </c>
      <c r="SV45" s="90">
        <f t="shared" si="306"/>
        <v>3.93</v>
      </c>
      <c r="SW45" s="90">
        <v>3.92</v>
      </c>
      <c r="SX45" s="90">
        <f t="shared" si="307"/>
        <v>2227.34</v>
      </c>
      <c r="SY45" s="90">
        <v>3.7216947960618842</v>
      </c>
      <c r="SZ45" s="90">
        <f t="shared" si="308"/>
        <v>2114.6669831223626</v>
      </c>
      <c r="TA45" s="90">
        <f t="shared" si="309"/>
        <v>-3.0168776370373962E-3</v>
      </c>
      <c r="TB45" s="90">
        <v>0</v>
      </c>
      <c r="TC45" s="90">
        <f t="shared" si="310"/>
        <v>3423.0571000000004</v>
      </c>
      <c r="TD45" s="90" t="e">
        <f>#REF!+#REF!</f>
        <v>#REF!</v>
      </c>
      <c r="TE45" s="90" t="e">
        <f t="shared" si="311"/>
        <v>#REF!</v>
      </c>
      <c r="TF45" s="90">
        <v>3262.3871000000004</v>
      </c>
      <c r="TG45" s="90">
        <f t="shared" si="312"/>
        <v>41.319531657017158</v>
      </c>
      <c r="TH45" s="95"/>
      <c r="TI45" s="95"/>
      <c r="TJ45" s="95"/>
      <c r="TK45" s="95"/>
      <c r="TL45" s="95"/>
      <c r="TM45" s="95">
        <f t="shared" si="313"/>
        <v>0</v>
      </c>
      <c r="TN45" s="95">
        <f t="shared" si="314"/>
        <v>8284.3559999999998</v>
      </c>
      <c r="TO45" s="95">
        <f t="shared" si="315"/>
        <v>41.319531657017158</v>
      </c>
      <c r="TP45" s="95"/>
      <c r="TQ45" s="95">
        <f t="shared" si="316"/>
        <v>14.579999999999998</v>
      </c>
      <c r="TR45" s="95"/>
      <c r="TS45" s="95"/>
      <c r="TT45" s="95"/>
      <c r="TU45" s="95"/>
      <c r="TV45" s="95"/>
      <c r="TW45" s="95"/>
      <c r="TX45" s="95"/>
      <c r="TY45" s="95"/>
      <c r="TZ45" s="95">
        <f t="shared" si="317"/>
        <v>2.5</v>
      </c>
      <c r="UA45" s="95">
        <f t="shared" si="318"/>
        <v>0.64151999999999998</v>
      </c>
      <c r="UB45" s="90">
        <v>0</v>
      </c>
      <c r="UC45" s="90">
        <f t="shared" si="319"/>
        <v>0</v>
      </c>
      <c r="UD45" s="90">
        <f t="shared" si="320"/>
        <v>0</v>
      </c>
      <c r="UE45" s="90">
        <f t="shared" si="321"/>
        <v>0</v>
      </c>
      <c r="UF45" s="90">
        <f t="shared" si="322"/>
        <v>8284.3559999999998</v>
      </c>
      <c r="UG45" s="91">
        <f t="shared" si="323"/>
        <v>0</v>
      </c>
      <c r="UH45" s="95">
        <f t="shared" si="324"/>
        <v>41.319531657017158</v>
      </c>
      <c r="UI45" s="95">
        <f t="shared" si="325"/>
        <v>8284.3559999999998</v>
      </c>
      <c r="UJ45" s="101">
        <f t="shared" si="326"/>
        <v>0</v>
      </c>
      <c r="UK45" s="101">
        <f t="shared" si="327"/>
        <v>41.319531657017158</v>
      </c>
      <c r="UL45" s="90" t="e">
        <f>(#REF!+#REF!+HZ45+LT45+LZ45+MF45+ML45+QL45+QN45+SN45+TC45+TM45+UC45)/I45</f>
        <v>#REF!</v>
      </c>
      <c r="UN45" s="90" t="e">
        <f>#REF!/I45</f>
        <v>#REF!</v>
      </c>
      <c r="UO45" s="90" t="e">
        <f>#REF!/I45</f>
        <v>#REF!</v>
      </c>
      <c r="UP45" s="90">
        <v>1.1499999999999999</v>
      </c>
      <c r="UQ45" s="90" t="e">
        <f t="shared" si="328"/>
        <v>#REF!</v>
      </c>
      <c r="UR45" s="90">
        <f t="shared" si="329"/>
        <v>5215.04</v>
      </c>
      <c r="US45" s="90">
        <f t="shared" si="330"/>
        <v>6237.0499999999993</v>
      </c>
      <c r="UT45" s="90">
        <f t="shared" si="331"/>
        <v>6237.0499999999993</v>
      </c>
      <c r="UU45" s="90">
        <f t="shared" si="516"/>
        <v>6498.4199999999992</v>
      </c>
      <c r="UV45" s="90">
        <f t="shared" si="333"/>
        <v>6237.0499999999993</v>
      </c>
      <c r="UW45" s="90">
        <f t="shared" si="334"/>
        <v>4.9399999999999995</v>
      </c>
      <c r="UX45" s="90">
        <f t="shared" si="335"/>
        <v>3.92</v>
      </c>
      <c r="UY45" s="90">
        <f t="shared" si="336"/>
        <v>3.8019711369236178</v>
      </c>
      <c r="UZ45" s="100">
        <f t="shared" si="337"/>
        <v>3.5512372813999997</v>
      </c>
      <c r="VA45" s="90">
        <f t="shared" si="338"/>
        <v>0</v>
      </c>
      <c r="VB45" s="90">
        <f t="shared" si="339"/>
        <v>1.02</v>
      </c>
      <c r="VC45" s="90">
        <f t="shared" si="340"/>
        <v>0</v>
      </c>
      <c r="VD45" s="90">
        <f t="shared" si="341"/>
        <v>0</v>
      </c>
      <c r="VE45" s="90">
        <f t="shared" si="342"/>
        <v>0</v>
      </c>
      <c r="VF45" s="90">
        <f t="shared" si="343"/>
        <v>0</v>
      </c>
      <c r="VG45" s="90">
        <f t="shared" si="344"/>
        <v>0</v>
      </c>
      <c r="VH45" s="90">
        <f t="shared" si="345"/>
        <v>0</v>
      </c>
      <c r="VI45" s="90">
        <f t="shared" si="346"/>
        <v>0</v>
      </c>
      <c r="VJ45" s="90">
        <f t="shared" si="347"/>
        <v>0</v>
      </c>
      <c r="VK45" s="90">
        <f t="shared" si="348"/>
        <v>0.89</v>
      </c>
      <c r="VL45" s="90">
        <f t="shared" si="349"/>
        <v>3.64</v>
      </c>
      <c r="VM45" s="90">
        <f t="shared" si="350"/>
        <v>6.24</v>
      </c>
      <c r="VN45" s="90">
        <f t="shared" si="351"/>
        <v>0</v>
      </c>
      <c r="VO45" s="90">
        <f t="shared" si="352"/>
        <v>6.24</v>
      </c>
      <c r="VP45" s="97">
        <v>0</v>
      </c>
      <c r="VQ45" s="97">
        <v>6.24</v>
      </c>
      <c r="VR45" s="90">
        <f t="shared" si="353"/>
        <v>0.44</v>
      </c>
      <c r="VS45" s="90">
        <f t="shared" si="354"/>
        <v>0.15</v>
      </c>
      <c r="VT45" s="90">
        <v>0.11989898989898991</v>
      </c>
      <c r="VU45" s="90">
        <f t="shared" si="355"/>
        <v>0.15410000000000001</v>
      </c>
      <c r="VV45" s="90">
        <v>0.38175323599898991</v>
      </c>
      <c r="VW45" s="90">
        <f t="shared" si="356"/>
        <v>0.59</v>
      </c>
      <c r="VX45" s="90">
        <f t="shared" si="357"/>
        <v>15.41</v>
      </c>
      <c r="VY45" s="90">
        <f t="shared" si="358"/>
        <v>15.41</v>
      </c>
      <c r="VZ45" s="90">
        <f t="shared" si="359"/>
        <v>0</v>
      </c>
      <c r="WA45" s="90"/>
      <c r="WB45" s="90">
        <f t="shared" si="360"/>
        <v>15.41</v>
      </c>
      <c r="WC45" s="90">
        <f t="shared" si="361"/>
        <v>0</v>
      </c>
      <c r="WD45" s="90"/>
      <c r="WE45" s="90">
        <v>15.41</v>
      </c>
      <c r="WF45" s="90"/>
      <c r="WG45" s="90">
        <f t="shared" si="362"/>
        <v>8755.9620000000014</v>
      </c>
      <c r="WH45" s="90">
        <f t="shared" si="363"/>
        <v>8755.9620000000014</v>
      </c>
      <c r="WI45" s="90">
        <f t="shared" si="364"/>
        <v>8760.6100000000024</v>
      </c>
      <c r="WJ45" s="90">
        <f t="shared" si="365"/>
        <v>5215.04</v>
      </c>
      <c r="WK45" s="97">
        <v>3545.57</v>
      </c>
      <c r="WL45" s="97">
        <v>6.24</v>
      </c>
      <c r="WM45" s="90">
        <f t="shared" si="366"/>
        <v>3545.57</v>
      </c>
      <c r="WN45" s="90">
        <f t="shared" si="367"/>
        <v>6.24</v>
      </c>
      <c r="WO45" s="90"/>
      <c r="WP45" s="97">
        <v>15.41</v>
      </c>
      <c r="WQ45" s="90">
        <f t="shared" si="368"/>
        <v>15.41</v>
      </c>
      <c r="WR45" s="91">
        <f t="shared" si="369"/>
        <v>105.69272976680386</v>
      </c>
      <c r="WS45" s="91">
        <f t="shared" si="370"/>
        <v>136.61347517730499</v>
      </c>
      <c r="WT45" s="90">
        <f t="shared" si="371"/>
        <v>8755.9599999999991</v>
      </c>
      <c r="WU45" s="90">
        <f t="shared" si="372"/>
        <v>8760.6100000000024</v>
      </c>
      <c r="WV45" s="90">
        <f t="shared" si="373"/>
        <v>-4.6500000000032742</v>
      </c>
      <c r="WW45" s="90">
        <v>3.3</v>
      </c>
      <c r="WX45" s="90"/>
      <c r="WY45" s="90"/>
      <c r="WZ45" s="90">
        <f t="shared" si="374"/>
        <v>6.2120434343434345</v>
      </c>
      <c r="XA45" s="90">
        <v>0</v>
      </c>
      <c r="XB45" s="90">
        <f t="shared" si="375"/>
        <v>6.2120434343434345</v>
      </c>
      <c r="XC45" s="90">
        <f t="shared" si="376"/>
        <v>0.46229999999999999</v>
      </c>
      <c r="XD45" s="90">
        <f t="shared" si="377"/>
        <v>0.15565656565656566</v>
      </c>
      <c r="XE45" s="90"/>
      <c r="XF45" s="90">
        <f t="shared" si="378"/>
        <v>15.41</v>
      </c>
      <c r="XG45" s="90">
        <v>5.741617564237945</v>
      </c>
      <c r="XH45" s="20">
        <v>14.579999999999998</v>
      </c>
      <c r="XI45" s="20">
        <v>0</v>
      </c>
      <c r="XJ45" s="20"/>
      <c r="XK45" s="20"/>
      <c r="XL45" s="20"/>
      <c r="XM45" s="20">
        <f t="shared" si="379"/>
        <v>14.579999999999998</v>
      </c>
      <c r="XN45" s="91">
        <f t="shared" si="380"/>
        <v>105.69272976680386</v>
      </c>
      <c r="XO45" s="20">
        <f t="shared" si="381"/>
        <v>14.579999999999998</v>
      </c>
      <c r="XP45" s="90">
        <f t="shared" si="382"/>
        <v>11.279999999999998</v>
      </c>
      <c r="XQ45" s="91">
        <f t="shared" si="383"/>
        <v>105.69272976680386</v>
      </c>
      <c r="XR45" s="102"/>
      <c r="XS45" s="90">
        <f t="shared" si="384"/>
        <v>3.64</v>
      </c>
      <c r="XT45" s="90">
        <f t="shared" si="385"/>
        <v>4.9399999999999995</v>
      </c>
      <c r="XU45" s="90">
        <f t="shared" si="386"/>
        <v>3.92</v>
      </c>
      <c r="XV45" s="90">
        <f t="shared" si="387"/>
        <v>0</v>
      </c>
      <c r="XW45" s="90">
        <f t="shared" si="388"/>
        <v>0</v>
      </c>
      <c r="XX45" s="90">
        <f t="shared" si="389"/>
        <v>0</v>
      </c>
      <c r="XY45" s="90">
        <f t="shared" si="390"/>
        <v>1.02</v>
      </c>
      <c r="XZ45" s="90">
        <f t="shared" si="391"/>
        <v>0</v>
      </c>
      <c r="YA45" s="90">
        <f t="shared" si="392"/>
        <v>0</v>
      </c>
      <c r="YB45" s="90">
        <f t="shared" si="552"/>
        <v>0</v>
      </c>
      <c r="YC45" s="90">
        <f t="shared" si="552"/>
        <v>0</v>
      </c>
      <c r="YD45" s="90">
        <f t="shared" si="394"/>
        <v>1.02</v>
      </c>
      <c r="YE45" s="90">
        <f t="shared" si="395"/>
        <v>6.24</v>
      </c>
      <c r="YF45" s="90">
        <f t="shared" si="396"/>
        <v>0.59</v>
      </c>
      <c r="YG45" s="90">
        <f t="shared" si="397"/>
        <v>15.41</v>
      </c>
      <c r="YI45" s="103" t="s">
        <v>442</v>
      </c>
      <c r="YK45" s="90">
        <f t="shared" si="398"/>
        <v>1.07</v>
      </c>
      <c r="YL45" s="90">
        <f t="shared" si="553"/>
        <v>0</v>
      </c>
      <c r="YM45" s="90">
        <f t="shared" si="553"/>
        <v>1.02</v>
      </c>
      <c r="YN45" s="90">
        <f t="shared" si="400"/>
        <v>3.64</v>
      </c>
      <c r="YO45" s="90">
        <f t="shared" si="401"/>
        <v>9.68</v>
      </c>
      <c r="YP45" s="90">
        <f t="shared" si="402"/>
        <v>0</v>
      </c>
      <c r="YQ45" s="90">
        <f t="shared" si="403"/>
        <v>15.41</v>
      </c>
      <c r="YR45" s="90">
        <f t="shared" si="404"/>
        <v>0</v>
      </c>
      <c r="YS45" s="104">
        <f t="shared" si="405"/>
        <v>15.41</v>
      </c>
      <c r="YT45" s="104">
        <f t="shared" si="406"/>
        <v>0</v>
      </c>
      <c r="YY45" s="90">
        <f t="shared" si="407"/>
        <v>6.1999999999999993</v>
      </c>
      <c r="YZ45" s="90">
        <f t="shared" si="408"/>
        <v>4.18</v>
      </c>
      <c r="ZA45" s="90">
        <f t="shared" si="409"/>
        <v>0</v>
      </c>
      <c r="ZB45" s="90">
        <f t="shared" si="410"/>
        <v>2.02</v>
      </c>
      <c r="ZC45" s="90">
        <f t="shared" si="411"/>
        <v>0</v>
      </c>
      <c r="ZD45" s="90">
        <f t="shared" si="412"/>
        <v>0</v>
      </c>
      <c r="ZE45" s="90">
        <f t="shared" si="413"/>
        <v>0</v>
      </c>
      <c r="ZF45" s="90">
        <f t="shared" si="414"/>
        <v>0</v>
      </c>
      <c r="ZG45" s="90">
        <f t="shared" si="415"/>
        <v>0</v>
      </c>
      <c r="ZH45" s="90">
        <f t="shared" si="416"/>
        <v>0</v>
      </c>
      <c r="ZI45" s="90">
        <f t="shared" si="417"/>
        <v>0</v>
      </c>
      <c r="ZJ45" s="90">
        <f t="shared" si="418"/>
        <v>0</v>
      </c>
      <c r="ZK45" s="90">
        <f t="shared" si="419"/>
        <v>0</v>
      </c>
      <c r="ZL45" s="90">
        <f t="shared" si="420"/>
        <v>0.02</v>
      </c>
      <c r="ZM45" s="90">
        <f t="shared" si="421"/>
        <v>4.1100000000000003</v>
      </c>
      <c r="ZN45" s="90">
        <f t="shared" si="422"/>
        <v>7.85</v>
      </c>
      <c r="ZO45" s="90">
        <f t="shared" si="423"/>
        <v>7.26</v>
      </c>
      <c r="ZP45" s="90">
        <f t="shared" si="424"/>
        <v>5.83</v>
      </c>
      <c r="ZQ45" s="90">
        <f t="shared" si="425"/>
        <v>0</v>
      </c>
      <c r="ZR45" s="90">
        <f t="shared" si="426"/>
        <v>5.83</v>
      </c>
      <c r="ZS45" s="97">
        <v>227</v>
      </c>
      <c r="ZT45" s="97">
        <v>230.38</v>
      </c>
      <c r="ZU45" s="90">
        <f t="shared" si="427"/>
        <v>0.5</v>
      </c>
      <c r="ZV45" s="90">
        <f t="shared" si="428"/>
        <v>0.17</v>
      </c>
      <c r="ZW45" s="90">
        <v>0.11989898989898991</v>
      </c>
      <c r="ZX45" s="90">
        <f t="shared" si="429"/>
        <v>0.16810000000000003</v>
      </c>
      <c r="ZY45" s="90">
        <v>0.38175323599898991</v>
      </c>
      <c r="ZZ45" s="90">
        <f t="shared" si="430"/>
        <v>0.67</v>
      </c>
      <c r="AAA45" s="90">
        <f t="shared" si="431"/>
        <v>16.810000000000002</v>
      </c>
      <c r="AAB45" s="90">
        <f t="shared" si="432"/>
        <v>16.810000000000002</v>
      </c>
      <c r="AAC45" s="90">
        <f t="shared" si="433"/>
        <v>0</v>
      </c>
      <c r="AAD45" s="90"/>
      <c r="AAE45" s="90">
        <f t="shared" si="434"/>
        <v>16.810000000000002</v>
      </c>
      <c r="AAF45" s="90">
        <v>15.41</v>
      </c>
      <c r="AAG45" s="90">
        <f t="shared" si="435"/>
        <v>109.08500973393902</v>
      </c>
      <c r="AAH45" s="90">
        <f t="shared" si="436"/>
        <v>0</v>
      </c>
      <c r="AAI45" s="90">
        <v>0</v>
      </c>
      <c r="AAJ45" s="90"/>
      <c r="AAK45" s="1">
        <v>16.440000000000001</v>
      </c>
      <c r="AAL45" s="104">
        <f t="shared" si="437"/>
        <v>0.37000000000000099</v>
      </c>
      <c r="AAM45" s="103" t="s">
        <v>533</v>
      </c>
      <c r="AAN45" s="105">
        <v>6.32</v>
      </c>
      <c r="AAO45" s="90">
        <f t="shared" si="438"/>
        <v>6.6599999999999993</v>
      </c>
      <c r="AAP45" s="90">
        <v>4.21</v>
      </c>
      <c r="AAQ45" s="90">
        <f t="shared" si="439"/>
        <v>4.18</v>
      </c>
      <c r="AAR45" s="90">
        <v>0</v>
      </c>
      <c r="AAS45" s="90">
        <f t="shared" si="440"/>
        <v>0</v>
      </c>
      <c r="AAT45" s="90"/>
      <c r="AAU45" s="90">
        <v>2.11</v>
      </c>
      <c r="AAV45" s="90">
        <f t="shared" si="442"/>
        <v>2.02</v>
      </c>
      <c r="AAW45" s="90">
        <f t="shared" si="443"/>
        <v>95.73459715639811</v>
      </c>
      <c r="AAX45" s="90">
        <f t="shared" si="444"/>
        <v>0.46</v>
      </c>
      <c r="AAY45" s="90">
        <f t="shared" si="445"/>
        <v>0</v>
      </c>
      <c r="AAZ45" s="90">
        <f t="shared" si="446"/>
        <v>0</v>
      </c>
      <c r="ABA45" s="90">
        <f t="shared" si="447"/>
        <v>0</v>
      </c>
      <c r="ABB45" s="90">
        <f t="shared" si="448"/>
        <v>0</v>
      </c>
      <c r="ABC45" s="90">
        <v>0</v>
      </c>
      <c r="ABD45" s="90">
        <f t="shared" si="449"/>
        <v>0</v>
      </c>
      <c r="ABE45" s="90"/>
      <c r="ABF45" s="90">
        <v>0</v>
      </c>
      <c r="ABG45" s="90">
        <f t="shared" si="450"/>
        <v>0</v>
      </c>
      <c r="ABH45" s="90"/>
      <c r="ABI45" s="90">
        <f t="shared" si="451"/>
        <v>0</v>
      </c>
      <c r="ABJ45" s="90">
        <f t="shared" si="452"/>
        <v>0</v>
      </c>
      <c r="ABK45" s="90">
        <v>0</v>
      </c>
      <c r="ABL45" s="90">
        <f t="shared" si="453"/>
        <v>0</v>
      </c>
      <c r="ABM45" s="90">
        <f t="shared" si="454"/>
        <v>0</v>
      </c>
      <c r="ABN45" s="90">
        <f t="shared" si="455"/>
        <v>0.02</v>
      </c>
      <c r="ABO45" s="90">
        <v>3.91</v>
      </c>
      <c r="ABP45" s="90">
        <f t="shared" si="456"/>
        <v>4.1100000000000003</v>
      </c>
      <c r="ABQ45" s="90">
        <f t="shared" si="457"/>
        <v>105.1150895140665</v>
      </c>
      <c r="ABR45" s="90">
        <f t="shared" si="458"/>
        <v>7.85</v>
      </c>
      <c r="ABS45" s="90">
        <f t="shared" si="459"/>
        <v>7.26</v>
      </c>
      <c r="ABT45" s="90">
        <v>5.57</v>
      </c>
      <c r="ABU45" s="90">
        <f t="shared" si="460"/>
        <v>5.83</v>
      </c>
      <c r="ABV45" s="90">
        <f t="shared" si="461"/>
        <v>104.66786355475763</v>
      </c>
      <c r="ABW45" s="90">
        <f t="shared" si="462"/>
        <v>0</v>
      </c>
      <c r="ABX45" s="90">
        <f t="shared" si="463"/>
        <v>5.83</v>
      </c>
      <c r="ABY45" s="97">
        <v>227</v>
      </c>
      <c r="ABZ45" s="97">
        <v>230.38</v>
      </c>
      <c r="ACA45" s="90">
        <f t="shared" si="464"/>
        <v>0.5</v>
      </c>
      <c r="ACB45" s="90">
        <f t="shared" si="465"/>
        <v>0.17</v>
      </c>
      <c r="ACC45" s="90">
        <v>0.11989898989898991</v>
      </c>
      <c r="ACD45" s="90">
        <f t="shared" si="466"/>
        <v>0.16810000000000003</v>
      </c>
      <c r="ACE45" s="90">
        <v>0.38175323599898991</v>
      </c>
      <c r="ACF45" s="90">
        <v>0.63</v>
      </c>
      <c r="ACG45" s="90">
        <f t="shared" si="467"/>
        <v>0.67</v>
      </c>
      <c r="ACH45" s="90">
        <f t="shared" si="468"/>
        <v>106.34920634920636</v>
      </c>
      <c r="ACI45" s="90">
        <f t="shared" si="469"/>
        <v>17.270000000000003</v>
      </c>
      <c r="ACJ45" s="90">
        <f t="shared" si="470"/>
        <v>16.810000000000002</v>
      </c>
      <c r="ACK45" s="90">
        <f t="shared" si="471"/>
        <v>-0.46000000000000085</v>
      </c>
      <c r="ACL45" s="90"/>
      <c r="ACM45" s="90">
        <f t="shared" si="472"/>
        <v>17.270000000000003</v>
      </c>
      <c r="ACN45" s="90">
        <f t="shared" si="473"/>
        <v>0</v>
      </c>
      <c r="ACO45" s="90">
        <f t="shared" si="474"/>
        <v>17.270000000000003</v>
      </c>
      <c r="ACP45" s="90">
        <v>16.43</v>
      </c>
      <c r="ACQ45" s="90">
        <f t="shared" si="475"/>
        <v>105.1125989044431</v>
      </c>
      <c r="ACR45" s="90">
        <f t="shared" si="476"/>
        <v>0</v>
      </c>
      <c r="ACS45" s="90">
        <v>0</v>
      </c>
      <c r="ACT45" s="90"/>
      <c r="ACU45" s="90">
        <f t="shared" si="477"/>
        <v>17.26793</v>
      </c>
      <c r="ACV45" s="90">
        <f t="shared" si="478"/>
        <v>-2.0700000000033469E-3</v>
      </c>
      <c r="ACX45" s="106" t="s">
        <v>534</v>
      </c>
      <c r="ACY45" s="107">
        <v>45000</v>
      </c>
      <c r="ACZ45" s="107">
        <f>45000+45000</f>
        <v>90000</v>
      </c>
      <c r="ADB45" s="90">
        <f t="shared" si="479"/>
        <v>4.1100000000000003</v>
      </c>
      <c r="ADC45" s="90">
        <f t="shared" si="480"/>
        <v>6.66</v>
      </c>
      <c r="ADD45" s="90">
        <f t="shared" si="481"/>
        <v>4.18</v>
      </c>
      <c r="ADE45" s="90">
        <f t="shared" si="517"/>
        <v>0.46</v>
      </c>
      <c r="ADF45" s="90">
        <f t="shared" si="483"/>
        <v>0</v>
      </c>
      <c r="ADG45" s="90">
        <f t="shared" si="554"/>
        <v>0.46</v>
      </c>
      <c r="ADH45" s="90">
        <f t="shared" si="554"/>
        <v>0</v>
      </c>
      <c r="ADI45" s="90">
        <f t="shared" si="554"/>
        <v>0</v>
      </c>
      <c r="ADJ45" s="90">
        <f t="shared" si="485"/>
        <v>2.02</v>
      </c>
      <c r="ADK45" s="90">
        <f t="shared" si="486"/>
        <v>0</v>
      </c>
      <c r="ADL45" s="90">
        <f t="shared" si="487"/>
        <v>0</v>
      </c>
      <c r="ADM45" s="90">
        <f t="shared" si="555"/>
        <v>0</v>
      </c>
      <c r="ADN45" s="90">
        <f t="shared" si="555"/>
        <v>0</v>
      </c>
      <c r="ADO45" s="90">
        <f t="shared" si="489"/>
        <v>2.02</v>
      </c>
      <c r="ADP45" s="90">
        <f t="shared" si="490"/>
        <v>5.83</v>
      </c>
      <c r="ADQ45" s="90">
        <f t="shared" si="491"/>
        <v>0.67</v>
      </c>
      <c r="ADR45" s="90">
        <f t="shared" si="492"/>
        <v>17.270000000000003</v>
      </c>
      <c r="ADU45" s="90">
        <f t="shared" si="493"/>
        <v>1.1499999999999999</v>
      </c>
      <c r="ADV45" s="90">
        <f t="shared" si="494"/>
        <v>0</v>
      </c>
      <c r="ADW45" s="90">
        <f t="shared" si="495"/>
        <v>2.02</v>
      </c>
      <c r="ADX45" s="90">
        <f t="shared" si="496"/>
        <v>4.1100000000000003</v>
      </c>
      <c r="ADY45" s="90">
        <f t="shared" si="497"/>
        <v>9.5299999999999994</v>
      </c>
      <c r="ADZ45" s="90">
        <f t="shared" si="498"/>
        <v>0</v>
      </c>
      <c r="AEA45" s="90">
        <f t="shared" si="499"/>
        <v>17.270000000000003</v>
      </c>
      <c r="AEB45" s="90">
        <f t="shared" si="500"/>
        <v>0</v>
      </c>
      <c r="AEC45" s="104">
        <f t="shared" si="501"/>
        <v>16.809999999999999</v>
      </c>
      <c r="AED45" s="104">
        <f t="shared" si="502"/>
        <v>0.46000000000000441</v>
      </c>
      <c r="AEG45" s="1">
        <v>6.32</v>
      </c>
      <c r="AEH45" s="1">
        <v>4.21</v>
      </c>
      <c r="AEI45" s="1">
        <v>0</v>
      </c>
      <c r="AEJ45" s="1">
        <v>2.11</v>
      </c>
      <c r="AEK45" s="1">
        <v>0</v>
      </c>
      <c r="AEL45" s="1">
        <v>0</v>
      </c>
      <c r="AEM45" s="1">
        <v>0</v>
      </c>
      <c r="AEN45" s="1">
        <v>0</v>
      </c>
      <c r="AEO45" s="1">
        <v>0</v>
      </c>
      <c r="AEP45" s="1">
        <v>0</v>
      </c>
      <c r="AEQ45" s="1">
        <v>0</v>
      </c>
      <c r="AER45" s="1">
        <v>0</v>
      </c>
      <c r="AES45" s="1">
        <v>0</v>
      </c>
      <c r="AET45" s="1">
        <v>0</v>
      </c>
      <c r="AEU45" s="1">
        <v>0</v>
      </c>
      <c r="AEV45" s="1">
        <v>0.02</v>
      </c>
      <c r="AEW45" s="1">
        <v>3.91</v>
      </c>
      <c r="AEX45" s="1">
        <v>7.68</v>
      </c>
      <c r="AEY45" s="1">
        <v>7.26</v>
      </c>
      <c r="AEZ45" s="1">
        <v>5.57</v>
      </c>
      <c r="AFA45" s="1">
        <v>0</v>
      </c>
      <c r="AFB45" s="1">
        <v>5.57</v>
      </c>
      <c r="AFC45" s="1">
        <v>227</v>
      </c>
      <c r="AFD45" s="1">
        <v>230.38</v>
      </c>
      <c r="AFE45" s="1">
        <v>0.47</v>
      </c>
      <c r="AFF45" s="1">
        <v>0.16</v>
      </c>
      <c r="AFG45" s="1">
        <v>0.11989898989898991</v>
      </c>
      <c r="AFH45" s="1">
        <v>0.1643</v>
      </c>
      <c r="AFI45" s="1">
        <v>0.38175323599898991</v>
      </c>
      <c r="AFJ45" s="1">
        <v>0.63</v>
      </c>
      <c r="AFK45" s="1">
        <v>16.43</v>
      </c>
      <c r="AFL45" s="1">
        <v>16.43</v>
      </c>
      <c r="AFM45" s="1">
        <v>0</v>
      </c>
      <c r="AFO45" s="1">
        <v>16.43</v>
      </c>
      <c r="AFP45" s="1">
        <v>0</v>
      </c>
      <c r="AFQ45" s="1">
        <v>16.440000000000001</v>
      </c>
      <c r="AFX45" s="1">
        <v>19.399999999999999</v>
      </c>
    </row>
    <row r="46" spans="1:856" s="1" customFormat="1" ht="63.75" customHeight="1">
      <c r="A46" s="88">
        <v>38</v>
      </c>
      <c r="B46" s="20"/>
      <c r="C46" s="89" t="s">
        <v>535</v>
      </c>
      <c r="D46" s="20"/>
      <c r="E46" s="20" t="s">
        <v>536</v>
      </c>
      <c r="F46" s="20" t="s">
        <v>537</v>
      </c>
      <c r="G46" s="20">
        <v>1.2</v>
      </c>
      <c r="H46" s="20">
        <v>623.70000000000005</v>
      </c>
      <c r="I46" s="20">
        <f>623.7-0.5+0.5</f>
        <v>623.70000000000005</v>
      </c>
      <c r="J46" s="20">
        <f t="shared" si="0"/>
        <v>748.44</v>
      </c>
      <c r="K46" s="20">
        <v>16</v>
      </c>
      <c r="L46" s="20"/>
      <c r="M46" s="20"/>
      <c r="N46" s="20"/>
      <c r="O46" s="90">
        <f t="shared" si="1"/>
        <v>0</v>
      </c>
      <c r="P46" s="20"/>
      <c r="Q46" s="20"/>
      <c r="R46" s="90">
        <f t="shared" si="2"/>
        <v>0</v>
      </c>
      <c r="S46" s="20">
        <v>48.1</v>
      </c>
      <c r="T46" s="20">
        <v>2.6</v>
      </c>
      <c r="U46" s="20">
        <v>3.13</v>
      </c>
      <c r="V46" s="91">
        <f t="shared" si="3"/>
        <v>391.44</v>
      </c>
      <c r="W46" s="20">
        <v>2.1000000000000001E-2</v>
      </c>
      <c r="X46" s="20">
        <f t="shared" si="4"/>
        <v>33.42</v>
      </c>
      <c r="Y46" s="91">
        <f t="shared" si="5"/>
        <v>33.76</v>
      </c>
      <c r="Z46" s="20">
        <v>1.7999999999999999E-2</v>
      </c>
      <c r="AA46" s="20">
        <f t="shared" ref="AA46:AA60" si="561">ROUND((293.35*7)/12,2)</f>
        <v>171.12</v>
      </c>
      <c r="AB46" s="91">
        <f t="shared" ref="AB46:AB60" si="562">ROUND((Z46*AA46*S46),2)</f>
        <v>148.16</v>
      </c>
      <c r="AC46" s="91">
        <f t="shared" si="6"/>
        <v>573.35</v>
      </c>
      <c r="AD46" s="90">
        <f t="shared" si="7"/>
        <v>0.92</v>
      </c>
      <c r="AE46" s="92">
        <f t="shared" si="8"/>
        <v>6880.2000000000007</v>
      </c>
      <c r="AF46" s="20">
        <v>30</v>
      </c>
      <c r="AG46" s="20">
        <v>29</v>
      </c>
      <c r="AH46" s="20">
        <v>29</v>
      </c>
      <c r="AI46" s="20">
        <v>19</v>
      </c>
      <c r="AJ46" s="20">
        <v>1.6</v>
      </c>
      <c r="AK46" s="90">
        <f t="shared" si="9"/>
        <v>3.87</v>
      </c>
      <c r="AL46" s="90">
        <v>391.01</v>
      </c>
      <c r="AM46" s="90">
        <f t="shared" si="10"/>
        <v>1513.21</v>
      </c>
      <c r="AN46" s="20">
        <v>25</v>
      </c>
      <c r="AO46" s="20">
        <v>24</v>
      </c>
      <c r="AP46" s="20">
        <v>30</v>
      </c>
      <c r="AQ46" s="20">
        <v>25</v>
      </c>
      <c r="AR46" s="20">
        <v>24</v>
      </c>
      <c r="AS46" s="20">
        <v>22</v>
      </c>
      <c r="AT46" s="20">
        <f t="shared" si="11"/>
        <v>1</v>
      </c>
      <c r="AU46" s="20">
        <v>1.6</v>
      </c>
      <c r="AV46" s="90">
        <f t="shared" si="12"/>
        <v>4</v>
      </c>
      <c r="AW46" s="90">
        <f t="shared" si="551"/>
        <v>188.88</v>
      </c>
      <c r="AX46" s="90">
        <v>554.04999999999995</v>
      </c>
      <c r="AY46" s="90">
        <f t="shared" si="14"/>
        <v>0.89</v>
      </c>
      <c r="AZ46" s="90">
        <f t="shared" si="15"/>
        <v>1564.04</v>
      </c>
      <c r="BA46" s="90">
        <f t="shared" si="16"/>
        <v>-1009.99</v>
      </c>
      <c r="BB46" s="90">
        <v>554.04999999999995</v>
      </c>
      <c r="BC46" s="90">
        <v>0.89</v>
      </c>
      <c r="BD46" s="92">
        <f t="shared" si="17"/>
        <v>6648.5999999999995</v>
      </c>
      <c r="BE46" s="90"/>
      <c r="BF46" s="90">
        <f t="shared" si="18"/>
        <v>0</v>
      </c>
      <c r="BG46" s="90">
        <v>391.01</v>
      </c>
      <c r="BH46" s="90">
        <f t="shared" si="19"/>
        <v>1564.04</v>
      </c>
      <c r="BI46" s="90">
        <f t="shared" si="20"/>
        <v>2.5099999999999998</v>
      </c>
      <c r="BJ46" s="90">
        <f t="shared" si="21"/>
        <v>282.0224719101123</v>
      </c>
      <c r="BK46" s="90">
        <f t="shared" si="22"/>
        <v>1564.04</v>
      </c>
      <c r="BL46" s="90">
        <f t="shared" si="23"/>
        <v>2.5099999999999998</v>
      </c>
      <c r="BM46" s="90"/>
      <c r="BN46" s="90">
        <f t="shared" si="24"/>
        <v>0</v>
      </c>
      <c r="BO46" s="90">
        <f t="shared" si="25"/>
        <v>1564.04</v>
      </c>
      <c r="BP46" s="90">
        <f t="shared" si="26"/>
        <v>2.5076799743466407</v>
      </c>
      <c r="BQ46" s="90"/>
      <c r="BR46" s="90">
        <f t="shared" si="27"/>
        <v>0</v>
      </c>
      <c r="BS46" s="90">
        <f t="shared" si="28"/>
        <v>1564.04</v>
      </c>
      <c r="BT46" s="90">
        <f t="shared" si="29"/>
        <v>2.5076799743466407</v>
      </c>
      <c r="BU46" s="90"/>
      <c r="BV46" s="93">
        <v>1.7027650000000001</v>
      </c>
      <c r="BW46" s="90">
        <f t="shared" si="30"/>
        <v>1062.0145305000001</v>
      </c>
      <c r="BX46" s="90">
        <f t="shared" si="31"/>
        <v>1125.7354023300002</v>
      </c>
      <c r="BY46" s="90"/>
      <c r="BZ46" s="90">
        <v>1456.6307055300001</v>
      </c>
      <c r="CA46" s="90">
        <v>0.37305430897000003</v>
      </c>
      <c r="CB46" s="90">
        <f t="shared" si="556"/>
        <v>232.67397250458905</v>
      </c>
      <c r="CC46" s="90">
        <v>0.37305430897000003</v>
      </c>
      <c r="CD46" s="90">
        <f t="shared" ref="CD46:CD60" si="563">$I46*CC46</f>
        <v>232.67397250458905</v>
      </c>
      <c r="CE46" s="90">
        <f t="shared" ref="CE46:CE60" si="564">CD46</f>
        <v>232.67397250458905</v>
      </c>
      <c r="CF46" s="90">
        <v>225.65084963455561</v>
      </c>
      <c r="CG46" s="90">
        <v>225.65084963455561</v>
      </c>
      <c r="CH46" s="90">
        <f t="shared" ref="CH46:CH60" si="565">ROUND((CG46*1),2)</f>
        <v>225.65</v>
      </c>
      <c r="CI46" s="90">
        <f t="shared" si="524"/>
        <v>237.67144916608788</v>
      </c>
      <c r="CJ46" s="90">
        <f t="shared" si="36"/>
        <v>238.06</v>
      </c>
      <c r="CK46" s="90">
        <f t="shared" si="37"/>
        <v>256.41772217835165</v>
      </c>
      <c r="CL46" s="90">
        <f t="shared" si="38"/>
        <v>256.41772217835165</v>
      </c>
      <c r="CM46" s="94">
        <v>0.14899999999999999</v>
      </c>
      <c r="CN46" s="90">
        <f t="shared" si="39"/>
        <v>158.2401650445</v>
      </c>
      <c r="CO46" s="90">
        <f t="shared" si="40"/>
        <v>167.73457494717002</v>
      </c>
      <c r="CP46" s="90">
        <v>217.03824450000002</v>
      </c>
      <c r="CQ46" s="90">
        <v>5.0232736819999999E-2</v>
      </c>
      <c r="CR46" s="90">
        <f t="shared" si="557"/>
        <v>31.330157954634</v>
      </c>
      <c r="CS46" s="90">
        <v>5.0232736819999999E-2</v>
      </c>
      <c r="CT46" s="90">
        <f t="shared" ref="CT46:CT60" si="566">$I46*CS46</f>
        <v>31.330157954634</v>
      </c>
      <c r="CU46" s="90">
        <f t="shared" ref="CU46:CU60" si="567">CT46</f>
        <v>31.330157954634</v>
      </c>
      <c r="CV46" s="90">
        <v>64.727063946658362</v>
      </c>
      <c r="CW46" s="90">
        <f t="shared" ref="CW46:CW60" si="568">ROUND((CV46*1),2)</f>
        <v>64.73</v>
      </c>
      <c r="CX46" s="90">
        <f t="shared" si="525"/>
        <v>68.178475092049055</v>
      </c>
      <c r="CY46" s="90">
        <f t="shared" si="45"/>
        <v>68.290000000000006</v>
      </c>
      <c r="CZ46" s="90">
        <f t="shared" si="46"/>
        <v>73.556034374494587</v>
      </c>
      <c r="DA46" s="90">
        <f t="shared" si="47"/>
        <v>73.556034374494587</v>
      </c>
      <c r="DB46" s="93">
        <v>1.1979820000000001</v>
      </c>
      <c r="DC46" s="90">
        <f t="shared" si="48"/>
        <v>747.1813734000001</v>
      </c>
      <c r="DD46" s="90">
        <f t="shared" si="49"/>
        <v>792.01225580400012</v>
      </c>
      <c r="DE46" s="90"/>
      <c r="DF46" s="90">
        <v>422.59698934251725</v>
      </c>
      <c r="DG46" s="90">
        <v>0.28219173505</v>
      </c>
      <c r="DH46" s="90">
        <f t="shared" si="558"/>
        <v>176.00298515068502</v>
      </c>
      <c r="DI46" s="90">
        <v>0.28219173505</v>
      </c>
      <c r="DJ46" s="90">
        <f t="shared" ref="DJ46:DJ60" si="569">$I46*DI46</f>
        <v>176.00298515068502</v>
      </c>
      <c r="DK46" s="90">
        <f t="shared" ref="DK46:DK60" si="570">DJ46</f>
        <v>176.00298515068502</v>
      </c>
      <c r="DL46" s="90">
        <v>142.51282822902621</v>
      </c>
      <c r="DM46" s="90">
        <f t="shared" ref="DM46:DM60" si="571">ROUND((DL46*1),2)</f>
        <v>142.51</v>
      </c>
      <c r="DN46" s="90">
        <f t="shared" si="526"/>
        <v>150.10218577735068</v>
      </c>
      <c r="DO46" s="90">
        <f t="shared" si="54"/>
        <v>150.35</v>
      </c>
      <c r="DP46" s="90">
        <f t="shared" si="55"/>
        <v>161.94145618274712</v>
      </c>
      <c r="DQ46" s="90">
        <f t="shared" si="56"/>
        <v>161.94145618274712</v>
      </c>
      <c r="DR46" s="93">
        <v>4.2594E-2</v>
      </c>
      <c r="DS46" s="90">
        <f t="shared" si="57"/>
        <v>26.565877800000003</v>
      </c>
      <c r="DT46" s="90">
        <f t="shared" si="58"/>
        <v>28.159830468000003</v>
      </c>
      <c r="DU46" s="90">
        <v>15.983989239656236</v>
      </c>
      <c r="DV46" s="90">
        <v>1.366632888E-2</v>
      </c>
      <c r="DW46" s="90">
        <f t="shared" si="559"/>
        <v>8.5236893224560006</v>
      </c>
      <c r="DX46" s="90">
        <v>1.366632888E-2</v>
      </c>
      <c r="DY46" s="90">
        <f t="shared" ref="DY46:DY60" si="572">$I46*DX46</f>
        <v>8.5236893224560006</v>
      </c>
      <c r="DZ46" s="90">
        <f t="shared" ref="DZ46:DZ60" si="573">DY46</f>
        <v>8.5236893224560006</v>
      </c>
      <c r="EA46" s="90">
        <f t="shared" ref="EA46:EA60" si="574">ROUND((DZ46*1),2)</f>
        <v>8.52</v>
      </c>
      <c r="EB46" s="90">
        <f t="shared" si="527"/>
        <v>8.9739009390430695</v>
      </c>
      <c r="EC46" s="90">
        <f t="shared" si="63"/>
        <v>8.99</v>
      </c>
      <c r="ED46" s="90">
        <f t="shared" si="64"/>
        <v>9.6817150142236024</v>
      </c>
      <c r="EE46" s="90">
        <f t="shared" si="65"/>
        <v>9.6817150142236024</v>
      </c>
      <c r="EF46" s="94">
        <v>0.85293354333000004</v>
      </c>
      <c r="EG46" s="90">
        <f t="shared" si="66"/>
        <v>638.36958116990525</v>
      </c>
      <c r="EH46" s="90">
        <f t="shared" si="67"/>
        <v>676.67175604009958</v>
      </c>
      <c r="EI46" s="90">
        <v>546.44605055384295</v>
      </c>
      <c r="EJ46" s="90">
        <v>0.13912706999999999</v>
      </c>
      <c r="EK46" s="90">
        <f t="shared" si="68"/>
        <v>104.1282642708</v>
      </c>
      <c r="EL46" s="90">
        <v>0.16695248382</v>
      </c>
      <c r="EM46" s="90">
        <f t="shared" ref="EM46:EM60" si="575">$I46*EL46</f>
        <v>104.12826415853401</v>
      </c>
      <c r="EN46" s="90">
        <f t="shared" ref="EN46:EN60" si="576">EM46</f>
        <v>104.12826415853401</v>
      </c>
      <c r="EO46" s="90">
        <v>101.32508515563156</v>
      </c>
      <c r="EP46" s="90">
        <f t="shared" ref="EP46:EP60" si="577">ROUND((EO46*1),2)</f>
        <v>101.33</v>
      </c>
      <c r="EQ46" s="90">
        <f t="shared" si="528"/>
        <v>106.72833123864253</v>
      </c>
      <c r="ER46" s="90">
        <f t="shared" si="72"/>
        <v>106.9</v>
      </c>
      <c r="ES46" s="90">
        <f t="shared" si="73"/>
        <v>115.14650028066639</v>
      </c>
      <c r="ET46" s="90">
        <f t="shared" si="74"/>
        <v>115.14650028066639</v>
      </c>
      <c r="EU46" s="94">
        <v>0.14899999999999999</v>
      </c>
      <c r="EV46" s="90">
        <f t="shared" si="75"/>
        <v>95.117067594315884</v>
      </c>
      <c r="EW46" s="90">
        <f t="shared" si="76"/>
        <v>100.82409164997485</v>
      </c>
      <c r="EX46" s="90">
        <v>81.431323463716396</v>
      </c>
      <c r="EY46" s="90">
        <v>2.0730999999999999E-2</v>
      </c>
      <c r="EZ46" s="90">
        <f t="shared" si="77"/>
        <v>15.51590964</v>
      </c>
      <c r="FA46" s="90">
        <v>2.4876671749999999E-2</v>
      </c>
      <c r="FB46" s="90">
        <f t="shared" ref="FB46:FB60" si="578">$I46*FA46</f>
        <v>15.515580170475001</v>
      </c>
      <c r="FC46" s="90">
        <f t="shared" ref="FC46:FC60" si="579">FB46</f>
        <v>15.515580170475001</v>
      </c>
      <c r="FD46" s="90">
        <v>31.31869538978939</v>
      </c>
      <c r="FE46" s="90">
        <f t="shared" ref="FE46:FE60" si="580">ROUND((FD46*1),2)</f>
        <v>31.32</v>
      </c>
      <c r="FF46" s="90">
        <f t="shared" si="529"/>
        <v>32.988565423806222</v>
      </c>
      <c r="FG46" s="90">
        <f t="shared" si="81"/>
        <v>33.04</v>
      </c>
      <c r="FH46" s="90">
        <f t="shared" si="82"/>
        <v>35.590529841019169</v>
      </c>
      <c r="FI46" s="90">
        <f t="shared" si="83"/>
        <v>35.590529841019169</v>
      </c>
      <c r="FJ46" s="93">
        <v>0.49981642240000002</v>
      </c>
      <c r="FK46" s="90">
        <f t="shared" si="84"/>
        <v>374.08260318105602</v>
      </c>
      <c r="FL46" s="90">
        <f t="shared" si="85"/>
        <v>396.52755937191938</v>
      </c>
      <c r="FM46" s="90">
        <v>301.43121384813685</v>
      </c>
      <c r="FN46" s="90">
        <v>8.9680701000000002E-2</v>
      </c>
      <c r="FO46" s="90">
        <f t="shared" si="86"/>
        <v>67.120623856440005</v>
      </c>
      <c r="FP46" s="90">
        <v>0.10761684168000001</v>
      </c>
      <c r="FQ46" s="90">
        <f t="shared" ref="FQ46:FQ60" si="581">$I46*FP46</f>
        <v>67.120624155816003</v>
      </c>
      <c r="FR46" s="90">
        <f t="shared" ref="FR46:FR60" si="582">FQ46</f>
        <v>67.120624155816003</v>
      </c>
      <c r="FS46" s="90">
        <v>52.075150566642208</v>
      </c>
      <c r="FT46" s="90">
        <f t="shared" si="89"/>
        <v>54.57</v>
      </c>
      <c r="FU46" s="90">
        <v>61.237061739072544</v>
      </c>
      <c r="FV46" s="90">
        <f t="shared" ref="FV46:FV60" si="583">ROUND((FU46*1),2)</f>
        <v>61.24</v>
      </c>
      <c r="FW46" s="90">
        <f t="shared" si="530"/>
        <v>64.502546186267324</v>
      </c>
      <c r="FX46" s="90">
        <f t="shared" si="91"/>
        <v>64.61</v>
      </c>
      <c r="FY46" s="90">
        <f t="shared" si="92"/>
        <v>69.590167543550876</v>
      </c>
      <c r="FZ46" s="90">
        <f t="shared" si="93"/>
        <v>69.590167543550876</v>
      </c>
      <c r="GA46" s="94">
        <v>1.352261642E-2</v>
      </c>
      <c r="GB46" s="90">
        <f t="shared" si="94"/>
        <v>10.120867033384801</v>
      </c>
      <c r="GC46" s="90">
        <f t="shared" si="95"/>
        <v>10.728119055387889</v>
      </c>
      <c r="GD46" s="90">
        <v>8.7985844272239202</v>
      </c>
      <c r="GE46" s="90">
        <v>2.4269999999999999E-3</v>
      </c>
      <c r="GF46" s="90">
        <f t="shared" si="96"/>
        <v>1.8164638800000001</v>
      </c>
      <c r="GG46" s="90">
        <v>2.9119942899999999E-3</v>
      </c>
      <c r="GH46" s="90">
        <f t="shared" ref="GH46:GH60" si="584">$I46*GG46</f>
        <v>1.816210838673</v>
      </c>
      <c r="GI46" s="90">
        <f t="shared" ref="GI46:GI60" si="585">GH46</f>
        <v>1.816210838673</v>
      </c>
      <c r="GJ46" s="90">
        <f t="shared" ref="GJ46:GJ60" si="586">ROUND((GI46*1),2)</f>
        <v>1.82</v>
      </c>
      <c r="GK46" s="90">
        <f t="shared" si="531"/>
        <v>1.9169600597486371</v>
      </c>
      <c r="GL46" s="90">
        <f t="shared" si="100"/>
        <v>1.92</v>
      </c>
      <c r="GM46" s="90">
        <f t="shared" si="101"/>
        <v>2.0681597800336804</v>
      </c>
      <c r="GN46" s="90">
        <f t="shared" si="102"/>
        <v>2.0681597800336804</v>
      </c>
      <c r="GO46" s="90">
        <v>3225.6</v>
      </c>
      <c r="GP46" s="90">
        <f t="shared" si="103"/>
        <v>268.8</v>
      </c>
      <c r="GQ46" s="90">
        <f>2116.8+554.4</f>
        <v>2671.2000000000003</v>
      </c>
      <c r="GR46" s="90">
        <f t="shared" si="104"/>
        <v>222.60000000000002</v>
      </c>
      <c r="GS46" s="90">
        <f t="shared" si="105"/>
        <v>491.40000000000003</v>
      </c>
      <c r="GT46" s="90">
        <f t="shared" si="106"/>
        <v>0.79</v>
      </c>
      <c r="GU46" s="90">
        <v>3684.48</v>
      </c>
      <c r="GV46" s="90">
        <f>2006.4+528.96</f>
        <v>2535.36</v>
      </c>
      <c r="GW46" s="90">
        <f t="shared" si="107"/>
        <v>518.32000000000005</v>
      </c>
      <c r="GX46" s="90">
        <f t="shared" si="108"/>
        <v>0.83</v>
      </c>
      <c r="GY46" s="90">
        <v>6584.64</v>
      </c>
      <c r="GZ46" s="90">
        <f>2134.08+565.44</f>
        <v>2699.52</v>
      </c>
      <c r="HA46" s="90">
        <f t="shared" si="109"/>
        <v>773.68</v>
      </c>
      <c r="HB46" s="90">
        <f t="shared" si="110"/>
        <v>1.24</v>
      </c>
      <c r="HC46" s="90">
        <v>6584.64</v>
      </c>
      <c r="HD46" s="90">
        <f>2134.08+565.44</f>
        <v>2699.52</v>
      </c>
      <c r="HE46" s="90">
        <f t="shared" si="111"/>
        <v>773.68</v>
      </c>
      <c r="HF46" s="90">
        <f t="shared" si="112"/>
        <v>1.24</v>
      </c>
      <c r="HG46" s="90"/>
      <c r="HH46" s="90"/>
      <c r="HI46" s="90">
        <v>0.96</v>
      </c>
      <c r="HJ46" s="90">
        <f t="shared" si="113"/>
        <v>598.75200000000007</v>
      </c>
      <c r="HK46" s="90">
        <f t="shared" si="114"/>
        <v>1.0099246432579765</v>
      </c>
      <c r="HL46" s="90">
        <f t="shared" ref="HL46:HL60" si="587">ROUND((HJ46*1.052),2)</f>
        <v>629.89</v>
      </c>
      <c r="HM46" s="90">
        <v>1.07</v>
      </c>
      <c r="HN46" s="90">
        <f t="shared" si="116"/>
        <v>667.35900000000004</v>
      </c>
      <c r="HO46" s="90">
        <v>1.1499999999999999</v>
      </c>
      <c r="HP46" s="90">
        <f t="shared" si="117"/>
        <v>717.26</v>
      </c>
      <c r="HQ46" s="90">
        <v>1.1499999999999999</v>
      </c>
      <c r="HR46" s="90">
        <f t="shared" si="118"/>
        <v>717.26</v>
      </c>
      <c r="HS46" s="90">
        <v>0.96</v>
      </c>
      <c r="HT46" s="90">
        <f t="shared" ref="HT46:HT60" si="588">I46*HS46</f>
        <v>598.75200000000007</v>
      </c>
      <c r="HU46" s="90" t="e">
        <f>HT46*#REF!</f>
        <v>#REF!</v>
      </c>
      <c r="HV46" s="90">
        <v>2.83</v>
      </c>
      <c r="HW46" s="20">
        <v>3.49</v>
      </c>
      <c r="HX46" s="90">
        <f t="shared" si="120"/>
        <v>2176.7130000000002</v>
      </c>
      <c r="HY46" s="90">
        <v>1.06</v>
      </c>
      <c r="HZ46" s="90">
        <f t="shared" si="121"/>
        <v>2307.3157800000004</v>
      </c>
      <c r="IA46" s="90">
        <f t="shared" si="122"/>
        <v>3.7</v>
      </c>
      <c r="IB46" s="90">
        <f t="shared" si="123"/>
        <v>3.88</v>
      </c>
      <c r="IC46" s="90">
        <f t="shared" si="124"/>
        <v>2419.9560000000001</v>
      </c>
      <c r="ID46" s="90">
        <f t="shared" si="125"/>
        <v>4.09</v>
      </c>
      <c r="IE46" s="90">
        <f t="shared" si="126"/>
        <v>2550.9299999999998</v>
      </c>
      <c r="IF46" s="90">
        <f t="shared" si="127"/>
        <v>4.09</v>
      </c>
      <c r="IG46" s="92">
        <f t="shared" si="128"/>
        <v>30611.159999999996</v>
      </c>
      <c r="IH46" s="90">
        <v>4.3899999999999997</v>
      </c>
      <c r="II46" s="90">
        <f t="shared" si="129"/>
        <v>4.6100000000000003</v>
      </c>
      <c r="IJ46" s="90">
        <f t="shared" si="130"/>
        <v>2875.26</v>
      </c>
      <c r="IK46" s="90">
        <f t="shared" si="131"/>
        <v>4.6100000000000003</v>
      </c>
      <c r="IL46" s="90">
        <f t="shared" si="132"/>
        <v>2875.26</v>
      </c>
      <c r="IM46" s="90">
        <f t="shared" si="133"/>
        <v>4.6100000000000003</v>
      </c>
      <c r="IN46" s="90">
        <f t="shared" si="134"/>
        <v>2875.26</v>
      </c>
      <c r="IO46" s="90">
        <f t="shared" si="135"/>
        <v>4.6100000000000003</v>
      </c>
      <c r="IP46" s="93">
        <v>0.37052404126999999</v>
      </c>
      <c r="IQ46" s="90">
        <f t="shared" si="136"/>
        <v>277.3150134481188</v>
      </c>
      <c r="IR46" s="90">
        <f t="shared" si="137"/>
        <v>293.95391425500594</v>
      </c>
      <c r="IS46" s="90">
        <v>18121.54</v>
      </c>
      <c r="IT46" s="90">
        <v>509.05</v>
      </c>
      <c r="IU46" s="90"/>
      <c r="IV46" s="90">
        <v>148.40871140090744</v>
      </c>
      <c r="IW46" s="90">
        <v>1.575999989</v>
      </c>
      <c r="IX46" s="90">
        <f t="shared" si="138"/>
        <v>1179.54143176716</v>
      </c>
      <c r="IY46" s="90">
        <v>1.89119998663</v>
      </c>
      <c r="IZ46" s="90">
        <f t="shared" si="139"/>
        <v>1179.5414316611311</v>
      </c>
      <c r="JA46" s="90">
        <f t="shared" ref="JA46:JA60" si="589">(ROUND((IZ46*0.97356177408),2))+TB46</f>
        <v>1148.3599999999999</v>
      </c>
      <c r="JB46" s="90">
        <f t="shared" si="532"/>
        <v>1209.5386012159038</v>
      </c>
      <c r="JC46" s="90">
        <f t="shared" si="141"/>
        <v>1211.52</v>
      </c>
      <c r="JD46" s="90">
        <f t="shared" si="142"/>
        <v>1304.940640109603</v>
      </c>
      <c r="JE46" s="90">
        <f t="shared" si="143"/>
        <v>1304.940640109603</v>
      </c>
      <c r="JF46" s="93">
        <v>4.2278943710000003E-2</v>
      </c>
      <c r="JG46" s="90">
        <f t="shared" si="144"/>
        <v>31.643252630312404</v>
      </c>
      <c r="JH46" s="90">
        <f t="shared" si="145"/>
        <v>33.54184778813115</v>
      </c>
      <c r="JI46" s="20">
        <v>101.71</v>
      </c>
      <c r="JJ46" s="90">
        <v>18.886863634657985</v>
      </c>
      <c r="JK46" s="90">
        <v>0.17965928</v>
      </c>
      <c r="JL46" s="90">
        <f t="shared" si="146"/>
        <v>134.46419152320001</v>
      </c>
      <c r="JM46" s="90">
        <v>0.21559114040999999</v>
      </c>
      <c r="JN46" s="90">
        <f t="shared" si="147"/>
        <v>134.464194273717</v>
      </c>
      <c r="JO46" s="90">
        <f t="shared" ref="JO46:JO60" si="590">ROUND((JN46*1),2)</f>
        <v>134.46</v>
      </c>
      <c r="JP46" s="90">
        <f t="shared" si="533"/>
        <v>141.62332397461634</v>
      </c>
      <c r="JQ46" s="90">
        <f t="shared" si="149"/>
        <v>141.86000000000001</v>
      </c>
      <c r="JR46" s="90">
        <f t="shared" si="150"/>
        <v>152.79382638644432</v>
      </c>
      <c r="JS46" s="90">
        <f t="shared" si="151"/>
        <v>152.79382638644432</v>
      </c>
      <c r="JT46" s="93">
        <v>7.3220517000000002E-3</v>
      </c>
      <c r="JU46" s="90">
        <f t="shared" si="152"/>
        <v>5.4801163743480004</v>
      </c>
      <c r="JV46" s="90">
        <f t="shared" ref="JV46:JV60" si="591">ROUND((JU46*1),2)</f>
        <v>5.48</v>
      </c>
      <c r="JW46" s="90">
        <f t="shared" si="534"/>
        <v>5.7719456744079851</v>
      </c>
      <c r="JX46" s="90">
        <f t="shared" si="154"/>
        <v>5.78</v>
      </c>
      <c r="JY46" s="90">
        <f t="shared" si="155"/>
        <v>6.2272063706508627</v>
      </c>
      <c r="JZ46" s="90">
        <f t="shared" si="156"/>
        <v>6.2272063706508627</v>
      </c>
      <c r="KA46" s="90">
        <v>7.3220999999999998E-3</v>
      </c>
      <c r="KB46" s="90">
        <f t="shared" si="157"/>
        <v>5.4801525240000002</v>
      </c>
      <c r="KC46" s="90" t="e">
        <f>KB46*#REF!</f>
        <v>#REF!</v>
      </c>
      <c r="KD46" s="90">
        <v>17952.740000000002</v>
      </c>
      <c r="KE46" s="90">
        <v>22700.14</v>
      </c>
      <c r="KF46" s="90"/>
      <c r="KG46" s="90">
        <f t="shared" si="550"/>
        <v>788.63044404363893</v>
      </c>
      <c r="KH46" s="90" t="e">
        <f>KG46/(BW46+#REF!)*(CB46+#REF!)</f>
        <v>#REF!</v>
      </c>
      <c r="KI46" s="90">
        <v>0.8</v>
      </c>
      <c r="KJ46" s="94"/>
      <c r="KK46" s="90">
        <f t="shared" si="159"/>
        <v>0</v>
      </c>
      <c r="KL46" s="93">
        <v>1.7272052</v>
      </c>
      <c r="KM46" s="90">
        <f>$I46*KL46</f>
        <v>1077.2578832400002</v>
      </c>
      <c r="KN46" s="90">
        <f t="shared" si="161"/>
        <v>1141.8933562344002</v>
      </c>
      <c r="KO46" s="90" t="e">
        <f>BW46+CN46+DC46+DS46+EG46+EV46+FK46+GB46+#REF!+#REF!+HJ46+HX46+IQ46+JG46+JU46+KK46+KM46</f>
        <v>#REF!</v>
      </c>
      <c r="KP46" s="90">
        <v>850.14361867904279</v>
      </c>
      <c r="KQ46" s="90">
        <v>0.28334929455000002</v>
      </c>
      <c r="KR46" s="90">
        <f t="shared" si="560"/>
        <v>176.72495501083503</v>
      </c>
      <c r="KS46" s="90">
        <v>0.28334929455000002</v>
      </c>
      <c r="KT46" s="90">
        <f t="shared" ref="KT46:KT60" si="592">$I46*KS46</f>
        <v>176.72495501083503</v>
      </c>
      <c r="KU46" s="90">
        <f t="shared" ref="KU46:KU60" si="593">KT46</f>
        <v>176.72495501083503</v>
      </c>
      <c r="KV46" s="90">
        <f t="shared" ref="KV46:KV60" si="594">ROUND((KU46*1),2)</f>
        <v>176.72</v>
      </c>
      <c r="KW46" s="90">
        <f t="shared" si="535"/>
        <v>186.13471525207646</v>
      </c>
      <c r="KX46" s="90">
        <f t="shared" si="166"/>
        <v>186.44</v>
      </c>
      <c r="KY46" s="90">
        <f t="shared" si="167"/>
        <v>200.81604193821539</v>
      </c>
      <c r="KZ46" s="90">
        <f t="shared" si="168"/>
        <v>200.81604193821539</v>
      </c>
      <c r="LA46" s="90">
        <f t="shared" si="169"/>
        <v>2881.49</v>
      </c>
      <c r="LB46" s="90">
        <f t="shared" si="170"/>
        <v>4.62</v>
      </c>
      <c r="LC46" s="92">
        <f t="shared" si="171"/>
        <v>34577.879999999997</v>
      </c>
      <c r="LD46" s="92">
        <v>4.97</v>
      </c>
      <c r="LE46" s="92">
        <v>3099.7900000000004</v>
      </c>
      <c r="LF46" s="90">
        <f t="shared" si="172"/>
        <v>4.9800000000000004</v>
      </c>
      <c r="LG46" s="90">
        <f t="shared" si="173"/>
        <v>3106.03</v>
      </c>
      <c r="LH46" s="90">
        <f t="shared" si="174"/>
        <v>3097.6017499999998</v>
      </c>
      <c r="LI46" s="90">
        <f t="shared" si="175"/>
        <v>4.97</v>
      </c>
      <c r="LJ46" s="90">
        <f t="shared" si="176"/>
        <v>3106.0300000000007</v>
      </c>
      <c r="LK46" s="90">
        <f t="shared" si="177"/>
        <v>4.9800000000000004</v>
      </c>
      <c r="LL46" s="90">
        <f t="shared" si="178"/>
        <v>3106.0300000000007</v>
      </c>
      <c r="LM46" s="90">
        <f t="shared" si="179"/>
        <v>4.9800000000000004</v>
      </c>
      <c r="LN46" s="95">
        <v>0.46</v>
      </c>
      <c r="LO46" s="95">
        <f t="shared" si="180"/>
        <v>286.89999999999998</v>
      </c>
      <c r="LP46" s="95"/>
      <c r="LQ46" s="95">
        <f t="shared" si="181"/>
        <v>0</v>
      </c>
      <c r="LR46" s="90"/>
      <c r="LS46" s="90"/>
      <c r="LT46" s="90">
        <f t="shared" si="182"/>
        <v>0</v>
      </c>
      <c r="LU46" s="90"/>
      <c r="LV46" s="90">
        <f t="shared" si="183"/>
        <v>0</v>
      </c>
      <c r="LW46" s="90">
        <f t="shared" si="184"/>
        <v>0</v>
      </c>
      <c r="LX46" s="90"/>
      <c r="LY46" s="90"/>
      <c r="LZ46" s="90">
        <f t="shared" si="185"/>
        <v>0</v>
      </c>
      <c r="MA46" s="90"/>
      <c r="MB46" s="90">
        <f t="shared" si="186"/>
        <v>0</v>
      </c>
      <c r="MC46" s="90">
        <f t="shared" si="187"/>
        <v>0</v>
      </c>
      <c r="MD46" s="90"/>
      <c r="ME46" s="90"/>
      <c r="MF46" s="90">
        <f t="shared" si="188"/>
        <v>0</v>
      </c>
      <c r="MG46" s="90"/>
      <c r="MH46" s="90">
        <f t="shared" si="189"/>
        <v>0</v>
      </c>
      <c r="MI46" s="90">
        <f t="shared" si="190"/>
        <v>0</v>
      </c>
      <c r="MJ46" s="90"/>
      <c r="MK46" s="90"/>
      <c r="ML46" s="90">
        <f t="shared" si="191"/>
        <v>0</v>
      </c>
      <c r="MM46" s="90"/>
      <c r="MN46" s="90">
        <f t="shared" si="192"/>
        <v>0</v>
      </c>
      <c r="MO46" s="90">
        <f t="shared" si="193"/>
        <v>0</v>
      </c>
      <c r="MP46" s="90">
        <f t="shared" si="194"/>
        <v>0</v>
      </c>
      <c r="MQ46" s="90">
        <f t="shared" si="195"/>
        <v>0</v>
      </c>
      <c r="MR46" s="90">
        <f t="shared" si="196"/>
        <v>0</v>
      </c>
      <c r="MS46" s="90">
        <f t="shared" si="197"/>
        <v>0</v>
      </c>
      <c r="MT46" s="95"/>
      <c r="MU46" s="95">
        <f t="shared" si="198"/>
        <v>0</v>
      </c>
      <c r="MV46" s="92">
        <f t="shared" si="199"/>
        <v>0</v>
      </c>
      <c r="MW46" s="95"/>
      <c r="MX46" s="95">
        <f t="shared" si="200"/>
        <v>0</v>
      </c>
      <c r="MY46" s="95"/>
      <c r="MZ46" s="95">
        <f t="shared" si="201"/>
        <v>0</v>
      </c>
      <c r="NA46" s="95"/>
      <c r="NB46" s="95">
        <f t="shared" si="202"/>
        <v>0</v>
      </c>
      <c r="NC46" s="92">
        <f t="shared" si="203"/>
        <v>0</v>
      </c>
      <c r="ND46" s="95"/>
      <c r="NE46" s="95">
        <f t="shared" si="204"/>
        <v>0</v>
      </c>
      <c r="NF46" s="95"/>
      <c r="NG46" s="95">
        <f t="shared" si="205"/>
        <v>0</v>
      </c>
      <c r="NH46" s="95"/>
      <c r="NI46" s="95"/>
      <c r="NJ46" s="95">
        <f t="shared" si="206"/>
        <v>0</v>
      </c>
      <c r="NK46" s="92">
        <f t="shared" si="207"/>
        <v>0</v>
      </c>
      <c r="NL46" s="95"/>
      <c r="NM46" s="95">
        <f t="shared" si="208"/>
        <v>0</v>
      </c>
      <c r="NN46" s="95"/>
      <c r="NO46" s="95">
        <f t="shared" si="209"/>
        <v>0</v>
      </c>
      <c r="NP46" s="95"/>
      <c r="NQ46" s="95">
        <f t="shared" si="210"/>
        <v>0</v>
      </c>
      <c r="NR46" s="92">
        <f t="shared" si="211"/>
        <v>0</v>
      </c>
      <c r="NS46" s="95"/>
      <c r="NT46" s="95">
        <f t="shared" si="212"/>
        <v>0</v>
      </c>
      <c r="NU46" s="95"/>
      <c r="NV46" s="95">
        <f t="shared" si="213"/>
        <v>0</v>
      </c>
      <c r="NW46" s="95">
        <f>0.55+0.25</f>
        <v>0.8</v>
      </c>
      <c r="NX46" s="95">
        <f t="shared" si="214"/>
        <v>498.96</v>
      </c>
      <c r="NY46" s="92">
        <f t="shared" si="215"/>
        <v>5987.5199999999995</v>
      </c>
      <c r="NZ46" s="112">
        <f>0.55+0.25</f>
        <v>0.8</v>
      </c>
      <c r="OA46" s="95">
        <f t="shared" si="216"/>
        <v>498.96</v>
      </c>
      <c r="OB46" s="112">
        <f>0.53+0.25</f>
        <v>0.78</v>
      </c>
      <c r="OC46" s="95">
        <f t="shared" si="217"/>
        <v>486.49</v>
      </c>
      <c r="OD46" s="90">
        <v>6424.11</v>
      </c>
      <c r="OE46" s="90">
        <f t="shared" si="218"/>
        <v>10.3</v>
      </c>
      <c r="OF46" s="92">
        <f t="shared" si="219"/>
        <v>77089.319999999992</v>
      </c>
      <c r="OG46" s="96">
        <v>554.04999999999995</v>
      </c>
      <c r="OH46" s="96">
        <v>0.89</v>
      </c>
      <c r="OI46" s="90">
        <v>6979.2</v>
      </c>
      <c r="OJ46" s="90">
        <f t="shared" si="220"/>
        <v>11.19</v>
      </c>
      <c r="OK46" s="90">
        <f t="shared" si="221"/>
        <v>6978.16</v>
      </c>
      <c r="OL46" s="90">
        <f t="shared" si="222"/>
        <v>11.19</v>
      </c>
      <c r="OM46" s="90">
        <f t="shared" si="223"/>
        <v>0</v>
      </c>
      <c r="ON46" s="90">
        <v>6424.11</v>
      </c>
      <c r="OO46" s="90">
        <f t="shared" si="224"/>
        <v>10.3</v>
      </c>
      <c r="OP46" s="90">
        <v>6425.15</v>
      </c>
      <c r="OQ46" s="90">
        <v>10.3</v>
      </c>
      <c r="OR46" s="90">
        <f t="shared" si="225"/>
        <v>0</v>
      </c>
      <c r="OS46" s="90">
        <f t="shared" si="226"/>
        <v>10.299999999999999</v>
      </c>
      <c r="OT46" s="90">
        <v>6424.11</v>
      </c>
      <c r="OU46" s="90">
        <f t="shared" si="227"/>
        <v>10.3</v>
      </c>
      <c r="OV46" s="97">
        <v>5800.41</v>
      </c>
      <c r="OW46" s="90">
        <f t="shared" si="228"/>
        <v>6817.04</v>
      </c>
      <c r="OX46" s="90">
        <f t="shared" si="229"/>
        <v>10.93</v>
      </c>
      <c r="OY46" s="90">
        <f>OU46-1+1.63</f>
        <v>10.93</v>
      </c>
      <c r="OZ46" s="90"/>
      <c r="PA46" s="90"/>
      <c r="PB46" s="95">
        <f t="shared" si="230"/>
        <v>0</v>
      </c>
      <c r="PC46" s="92">
        <f t="shared" si="231"/>
        <v>0</v>
      </c>
      <c r="PD46" s="90"/>
      <c r="PE46" s="95">
        <f t="shared" si="232"/>
        <v>0</v>
      </c>
      <c r="PF46" s="90">
        <f t="shared" si="233"/>
        <v>13400.939999999999</v>
      </c>
      <c r="PG46" s="90">
        <f t="shared" si="234"/>
        <v>21.49</v>
      </c>
      <c r="PH46" s="90">
        <f t="shared" si="235"/>
        <v>15921.91</v>
      </c>
      <c r="PI46" s="90">
        <f t="shared" si="236"/>
        <v>25.53</v>
      </c>
      <c r="PJ46" s="90">
        <f t="shared" si="237"/>
        <v>15921.91</v>
      </c>
      <c r="PK46" s="90">
        <f t="shared" si="238"/>
        <v>25.53</v>
      </c>
      <c r="PL46" s="90"/>
      <c r="PM46" s="90">
        <f t="shared" si="239"/>
        <v>402.03</v>
      </c>
      <c r="PN46" s="90">
        <f t="shared" si="240"/>
        <v>0.64</v>
      </c>
      <c r="PO46" s="92">
        <f t="shared" si="241"/>
        <v>4824.3599999999997</v>
      </c>
      <c r="PP46" s="90">
        <f t="shared" si="242"/>
        <v>477.66</v>
      </c>
      <c r="PQ46" s="90">
        <f t="shared" si="243"/>
        <v>0.77</v>
      </c>
      <c r="PR46" s="90">
        <f t="shared" si="244"/>
        <v>477.66</v>
      </c>
      <c r="PS46" s="90">
        <f t="shared" si="245"/>
        <v>0.77</v>
      </c>
      <c r="PT46" s="90">
        <f t="shared" si="246"/>
        <v>13802.97</v>
      </c>
      <c r="PU46" s="90">
        <f t="shared" si="247"/>
        <v>22.13</v>
      </c>
      <c r="PV46" s="90">
        <f t="shared" si="248"/>
        <v>16399.57</v>
      </c>
      <c r="PW46" s="90">
        <f t="shared" si="249"/>
        <v>26.29</v>
      </c>
      <c r="PX46" s="90">
        <f t="shared" si="250"/>
        <v>16399.57</v>
      </c>
      <c r="PY46" s="90">
        <f t="shared" si="251"/>
        <v>26.29</v>
      </c>
      <c r="PZ46" s="90">
        <f t="shared" si="252"/>
        <v>139.41999999999999</v>
      </c>
      <c r="QA46" s="90">
        <f t="shared" si="253"/>
        <v>0.22</v>
      </c>
      <c r="QB46" s="92">
        <f t="shared" si="254"/>
        <v>1673.04</v>
      </c>
      <c r="QC46" s="90">
        <f t="shared" si="255"/>
        <v>165.65</v>
      </c>
      <c r="QD46" s="90">
        <f t="shared" si="256"/>
        <v>0.27</v>
      </c>
      <c r="QE46" s="90">
        <f t="shared" si="257"/>
        <v>165.65</v>
      </c>
      <c r="QF46" s="90">
        <f t="shared" si="258"/>
        <v>0.27</v>
      </c>
      <c r="QG46" s="90">
        <f t="shared" si="259"/>
        <v>13942.39</v>
      </c>
      <c r="QH46" s="90">
        <f t="shared" si="260"/>
        <v>22.35</v>
      </c>
      <c r="QI46" s="92">
        <f t="shared" si="261"/>
        <v>167308.68</v>
      </c>
      <c r="QJ46" s="90">
        <f t="shared" si="262"/>
        <v>208.48471525207646</v>
      </c>
      <c r="QK46" s="98">
        <f t="shared" si="263"/>
        <v>0.30915000000000004</v>
      </c>
      <c r="QL46" s="90">
        <f t="shared" si="264"/>
        <v>192.81685500000003</v>
      </c>
      <c r="QM46" s="90">
        <f t="shared" si="265"/>
        <v>0.2127</v>
      </c>
      <c r="QN46" s="90">
        <f t="shared" si="266"/>
        <v>132.66099</v>
      </c>
      <c r="QO46" s="90">
        <v>0.30915000000000004</v>
      </c>
      <c r="QP46" s="90">
        <v>0.2127</v>
      </c>
      <c r="QQ46" s="97">
        <f t="shared" si="267"/>
        <v>325.477845</v>
      </c>
      <c r="QR46" s="97">
        <v>325.477845</v>
      </c>
      <c r="QS46" s="97">
        <f t="shared" si="268"/>
        <v>0</v>
      </c>
      <c r="QT46" s="90"/>
      <c r="QU46" s="90">
        <f t="shared" si="269"/>
        <v>0.2127</v>
      </c>
      <c r="QV46" s="90">
        <f t="shared" si="270"/>
        <v>132.66099</v>
      </c>
      <c r="QW46" s="90">
        <f t="shared" si="271"/>
        <v>325.477845</v>
      </c>
      <c r="QX46" s="90">
        <f t="shared" si="272"/>
        <v>0.52184999999999993</v>
      </c>
      <c r="QY46" s="90"/>
      <c r="QZ46" s="90"/>
      <c r="RA46" s="90"/>
      <c r="RB46" s="90">
        <v>2732.0299999999997</v>
      </c>
      <c r="RC46" s="97">
        <f t="shared" si="273"/>
        <v>13942.39</v>
      </c>
      <c r="RD46" s="97">
        <f t="shared" si="274"/>
        <v>22.35</v>
      </c>
      <c r="RE46" s="90">
        <f t="shared" si="275"/>
        <v>16565.22</v>
      </c>
      <c r="RF46" s="90">
        <f t="shared" si="276"/>
        <v>26.56</v>
      </c>
      <c r="RG46" s="90">
        <f t="shared" si="277"/>
        <v>118.83668903803131</v>
      </c>
      <c r="RH46" s="90">
        <f t="shared" si="278"/>
        <v>16565.22</v>
      </c>
      <c r="RI46" s="90">
        <f t="shared" si="279"/>
        <v>26.56</v>
      </c>
      <c r="RJ46" s="90">
        <v>24.490000000000002</v>
      </c>
      <c r="RK46" s="90">
        <v>0</v>
      </c>
      <c r="RL46" s="90">
        <f t="shared" si="280"/>
        <v>2.0699999999999967</v>
      </c>
      <c r="RM46" s="90">
        <f t="shared" si="281"/>
        <v>114.18134937688012</v>
      </c>
      <c r="RN46" s="90">
        <f t="shared" si="282"/>
        <v>7125.4549999999999</v>
      </c>
      <c r="RO46" s="90"/>
      <c r="RP46" s="90"/>
      <c r="RQ46" s="99">
        <v>3346</v>
      </c>
      <c r="RR46" s="90">
        <f t="shared" si="283"/>
        <v>7518.28</v>
      </c>
      <c r="RS46" s="90">
        <f t="shared" si="284"/>
        <v>12.05432098765432</v>
      </c>
      <c r="RT46" s="20">
        <f>14.56+6.16</f>
        <v>20.72</v>
      </c>
      <c r="RU46" s="90">
        <f t="shared" si="285"/>
        <v>12923.064</v>
      </c>
      <c r="RV46" s="90">
        <f t="shared" si="286"/>
        <v>0.33427082772499028</v>
      </c>
      <c r="RW46" s="20">
        <v>13.49</v>
      </c>
      <c r="RX46" s="90">
        <f t="shared" si="287"/>
        <v>14.1645</v>
      </c>
      <c r="RY46" s="90">
        <f t="shared" si="288"/>
        <v>8834.398650000001</v>
      </c>
      <c r="RZ46" s="90">
        <f t="shared" si="289"/>
        <v>2732.0741815758938</v>
      </c>
      <c r="SA46" s="90">
        <f t="shared" si="290"/>
        <v>813.83643926669777</v>
      </c>
      <c r="SB46" s="90">
        <f t="shared" si="291"/>
        <v>813.83705509560298</v>
      </c>
      <c r="SC46" s="90">
        <f t="shared" si="292"/>
        <v>2732.0741815758938</v>
      </c>
      <c r="SD46" s="90">
        <f t="shared" si="293"/>
        <v>2732.074797404799</v>
      </c>
      <c r="SE46" s="90">
        <f t="shared" si="294"/>
        <v>2732.0834471157159</v>
      </c>
      <c r="SF46" s="90">
        <f t="shared" si="295"/>
        <v>2722.9122704034635</v>
      </c>
      <c r="SG46" s="90">
        <f t="shared" si="296"/>
        <v>9.1619111724303366</v>
      </c>
      <c r="SH46" s="90">
        <f t="shared" si="297"/>
        <v>2732.0741815758938</v>
      </c>
      <c r="SI46" s="90">
        <f t="shared" si="298"/>
        <v>4.3804309722700001</v>
      </c>
      <c r="SJ46" s="100">
        <f t="shared" si="299"/>
        <v>4.3657403726205919</v>
      </c>
      <c r="SK46" s="100"/>
      <c r="SL46" s="100"/>
      <c r="SM46" s="90"/>
      <c r="SN46" s="90">
        <f t="shared" si="300"/>
        <v>2766.5</v>
      </c>
      <c r="SO46" s="90" t="e">
        <f>RU46-#REF!-#REF!-HZ46-LT46-LZ46-MF46-ML46-QL46-QN46-SD46</f>
        <v>#REF!</v>
      </c>
      <c r="SP46" s="90">
        <f t="shared" si="301"/>
        <v>2732.0299999999997</v>
      </c>
      <c r="SQ46" s="90">
        <f t="shared" si="302"/>
        <v>2881.49</v>
      </c>
      <c r="SR46" s="90">
        <f t="shared" si="303"/>
        <v>4.3803591470258132</v>
      </c>
      <c r="SS46" s="90">
        <f t="shared" si="304"/>
        <v>4.6199935866602528</v>
      </c>
      <c r="ST46" s="90">
        <f t="shared" si="305"/>
        <v>2885.1190000000001</v>
      </c>
      <c r="SU46" s="90">
        <v>4.3803591470258132</v>
      </c>
      <c r="SV46" s="90">
        <f t="shared" si="306"/>
        <v>4.63</v>
      </c>
      <c r="SW46" s="90">
        <v>4.62</v>
      </c>
      <c r="SX46" s="90">
        <f t="shared" si="307"/>
        <v>2881.49</v>
      </c>
      <c r="SY46" s="90">
        <v>4.3804232804232797</v>
      </c>
      <c r="SZ46" s="90">
        <f t="shared" si="308"/>
        <v>2732.0699999999997</v>
      </c>
      <c r="TA46" s="90">
        <f t="shared" si="309"/>
        <v>3.999999999996362E-2</v>
      </c>
      <c r="TB46" s="90">
        <v>0</v>
      </c>
      <c r="TC46" s="90">
        <f t="shared" si="310"/>
        <v>6668.9501550000014</v>
      </c>
      <c r="TD46" s="90" t="e">
        <f>#REF!+#REF!</f>
        <v>#REF!</v>
      </c>
      <c r="TE46" s="90" t="e">
        <f t="shared" si="311"/>
        <v>#REF!</v>
      </c>
      <c r="TF46" s="90">
        <v>6602.013488333333</v>
      </c>
      <c r="TG46" s="90">
        <f t="shared" si="312"/>
        <v>51.605023042523058</v>
      </c>
      <c r="TH46" s="95"/>
      <c r="TI46" s="95"/>
      <c r="TJ46" s="95"/>
      <c r="TK46" s="95"/>
      <c r="TL46" s="95">
        <v>0.55000000000000004</v>
      </c>
      <c r="TM46" s="95">
        <f t="shared" si="313"/>
        <v>343.03500000000003</v>
      </c>
      <c r="TN46" s="95">
        <f t="shared" si="314"/>
        <v>13266.099</v>
      </c>
      <c r="TO46" s="95">
        <f t="shared" si="315"/>
        <v>50.270619531785499</v>
      </c>
      <c r="TP46" s="95"/>
      <c r="TQ46" s="95">
        <f t="shared" si="316"/>
        <v>21.27</v>
      </c>
      <c r="TR46" s="95"/>
      <c r="TS46" s="95"/>
      <c r="TT46" s="95"/>
      <c r="TU46" s="95"/>
      <c r="TV46" s="95"/>
      <c r="TW46" s="95"/>
      <c r="TX46" s="95"/>
      <c r="TY46" s="95"/>
      <c r="TZ46" s="95">
        <f t="shared" si="317"/>
        <v>2.4534555712270802</v>
      </c>
      <c r="UA46" s="95">
        <f t="shared" si="318"/>
        <v>0.93588000000000005</v>
      </c>
      <c r="UB46" s="90">
        <v>0</v>
      </c>
      <c r="UC46" s="90">
        <f t="shared" si="319"/>
        <v>0</v>
      </c>
      <c r="UD46" s="90">
        <f t="shared" si="320"/>
        <v>0</v>
      </c>
      <c r="UE46" s="90">
        <f t="shared" si="321"/>
        <v>0</v>
      </c>
      <c r="UF46" s="90">
        <f t="shared" si="322"/>
        <v>12923.064</v>
      </c>
      <c r="UG46" s="91">
        <f t="shared" si="323"/>
        <v>0</v>
      </c>
      <c r="UH46" s="95">
        <f t="shared" si="324"/>
        <v>51.605023042523058</v>
      </c>
      <c r="UI46" s="95">
        <f t="shared" si="325"/>
        <v>13266.099</v>
      </c>
      <c r="UJ46" s="101">
        <f t="shared" si="326"/>
        <v>0</v>
      </c>
      <c r="UK46" s="101">
        <f t="shared" si="327"/>
        <v>50.270619531785499</v>
      </c>
      <c r="UL46" s="90" t="e">
        <f>(#REF!+#REF!+HZ46+LT46+LZ46+MF46+ML46+QL46+QN46+SN46+TC46+TM46+UC46)/I46</f>
        <v>#REF!</v>
      </c>
      <c r="UN46" s="90" t="e">
        <f>#REF!/I46</f>
        <v>#REF!</v>
      </c>
      <c r="UO46" s="90" t="e">
        <f>#REF!/I46</f>
        <v>#REF!</v>
      </c>
      <c r="UP46" s="90">
        <v>1.1499999999999999</v>
      </c>
      <c r="UQ46" s="90" t="e">
        <f t="shared" si="328"/>
        <v>#REF!</v>
      </c>
      <c r="UR46" s="90">
        <f t="shared" si="329"/>
        <v>7518.28</v>
      </c>
      <c r="US46" s="90">
        <f t="shared" si="330"/>
        <v>9205.92</v>
      </c>
      <c r="UT46" s="90">
        <f t="shared" si="331"/>
        <v>9205.92</v>
      </c>
      <c r="UU46" s="90">
        <f t="shared" si="516"/>
        <v>9492.82</v>
      </c>
      <c r="UV46" s="90">
        <f t="shared" si="333"/>
        <v>9461.2799999999988</v>
      </c>
      <c r="UW46" s="90">
        <f t="shared" si="334"/>
        <v>7.1</v>
      </c>
      <c r="UX46" s="90">
        <f t="shared" si="335"/>
        <v>4.62</v>
      </c>
      <c r="UY46" s="90">
        <f t="shared" si="336"/>
        <v>4.435626102292769</v>
      </c>
      <c r="UZ46" s="100">
        <f t="shared" si="337"/>
        <v>4.3804309722700001</v>
      </c>
      <c r="VA46" s="90">
        <f t="shared" si="338"/>
        <v>0.79</v>
      </c>
      <c r="VB46" s="90">
        <f t="shared" si="339"/>
        <v>0.89</v>
      </c>
      <c r="VC46" s="90">
        <f t="shared" si="340"/>
        <v>0.8</v>
      </c>
      <c r="VD46" s="90">
        <f t="shared" si="341"/>
        <v>0</v>
      </c>
      <c r="VE46" s="90">
        <f t="shared" si="342"/>
        <v>0</v>
      </c>
      <c r="VF46" s="90">
        <f t="shared" si="343"/>
        <v>0</v>
      </c>
      <c r="VG46" s="90">
        <f t="shared" si="344"/>
        <v>0</v>
      </c>
      <c r="VH46" s="90">
        <f t="shared" si="345"/>
        <v>0</v>
      </c>
      <c r="VI46" s="90">
        <f t="shared" si="346"/>
        <v>0</v>
      </c>
      <c r="VJ46" s="90">
        <f t="shared" si="347"/>
        <v>0</v>
      </c>
      <c r="VK46" s="90">
        <f t="shared" si="348"/>
        <v>0.92</v>
      </c>
      <c r="VL46" s="90">
        <f t="shared" si="349"/>
        <v>4.09</v>
      </c>
      <c r="VM46" s="90">
        <f t="shared" si="350"/>
        <v>10.3</v>
      </c>
      <c r="VN46" s="90">
        <f t="shared" si="351"/>
        <v>0</v>
      </c>
      <c r="VO46" s="90">
        <f t="shared" si="352"/>
        <v>10.3</v>
      </c>
      <c r="VP46" s="97">
        <v>0</v>
      </c>
      <c r="VQ46" s="97">
        <v>10.55</v>
      </c>
      <c r="VR46" s="90">
        <f t="shared" si="353"/>
        <v>0.64</v>
      </c>
      <c r="VS46" s="90">
        <f t="shared" si="354"/>
        <v>0.22</v>
      </c>
      <c r="VT46" s="90">
        <v>0.11989898989898991</v>
      </c>
      <c r="VU46" s="90">
        <f t="shared" si="355"/>
        <v>0.22350000000000003</v>
      </c>
      <c r="VV46" s="90">
        <v>0.38175323599898991</v>
      </c>
      <c r="VW46" s="90">
        <f t="shared" si="356"/>
        <v>0.86</v>
      </c>
      <c r="VX46" s="90">
        <f t="shared" si="357"/>
        <v>22.35</v>
      </c>
      <c r="VY46" s="90">
        <f t="shared" si="358"/>
        <v>22.35</v>
      </c>
      <c r="VZ46" s="90">
        <f t="shared" si="359"/>
        <v>0</v>
      </c>
      <c r="WA46" s="90"/>
      <c r="WB46" s="90">
        <f t="shared" si="360"/>
        <v>22.35</v>
      </c>
      <c r="WC46" s="90">
        <f t="shared" si="361"/>
        <v>0</v>
      </c>
      <c r="WD46" s="90"/>
      <c r="WE46" s="90">
        <v>22.35</v>
      </c>
      <c r="WF46" s="90"/>
      <c r="WG46" s="90">
        <f t="shared" si="362"/>
        <v>13939.695000000002</v>
      </c>
      <c r="WH46" s="90">
        <f t="shared" si="363"/>
        <v>13440.735000000001</v>
      </c>
      <c r="WI46" s="90">
        <f t="shared" si="364"/>
        <v>13443.43</v>
      </c>
      <c r="WJ46" s="90">
        <f t="shared" si="365"/>
        <v>7518.28</v>
      </c>
      <c r="WK46" s="97">
        <v>6580.04</v>
      </c>
      <c r="WL46" s="97">
        <v>10.55</v>
      </c>
      <c r="WM46" s="90">
        <f t="shared" si="366"/>
        <v>6580.04</v>
      </c>
      <c r="WN46" s="90">
        <f t="shared" si="367"/>
        <v>10.55</v>
      </c>
      <c r="WO46" s="90"/>
      <c r="WP46" s="97">
        <v>22.35</v>
      </c>
      <c r="WQ46" s="90">
        <f t="shared" si="368"/>
        <v>22.35</v>
      </c>
      <c r="WR46" s="91">
        <f t="shared" si="369"/>
        <v>105.07757404795488</v>
      </c>
      <c r="WS46" s="91">
        <f t="shared" si="370"/>
        <v>147.91528788881536</v>
      </c>
      <c r="WT46" s="90">
        <f t="shared" si="371"/>
        <v>13939.7</v>
      </c>
      <c r="WU46" s="90">
        <f t="shared" si="372"/>
        <v>13942.39</v>
      </c>
      <c r="WV46" s="90">
        <f t="shared" si="373"/>
        <v>-2.6899999999986903</v>
      </c>
      <c r="WW46" s="90">
        <v>6.16</v>
      </c>
      <c r="WX46" s="90"/>
      <c r="WY46" s="90"/>
      <c r="WZ46" s="90">
        <f t="shared" si="374"/>
        <v>10.35973232323232</v>
      </c>
      <c r="XA46" s="90">
        <v>0</v>
      </c>
      <c r="XB46" s="90">
        <f t="shared" si="375"/>
        <v>10.35973232323232</v>
      </c>
      <c r="XC46" s="90">
        <f t="shared" si="376"/>
        <v>0.67349999999999999</v>
      </c>
      <c r="XD46" s="90">
        <f t="shared" si="377"/>
        <v>0.22676767676767676</v>
      </c>
      <c r="XE46" s="90"/>
      <c r="XF46" s="90">
        <f t="shared" si="378"/>
        <v>22.45</v>
      </c>
      <c r="XG46" s="90">
        <v>10.585238878199988</v>
      </c>
      <c r="XH46" s="20">
        <v>20.72</v>
      </c>
      <c r="XI46" s="20">
        <v>0</v>
      </c>
      <c r="XJ46" s="20"/>
      <c r="XK46" s="20"/>
      <c r="XL46" s="20">
        <v>0.55000000000000004</v>
      </c>
      <c r="XM46" s="20">
        <f t="shared" si="379"/>
        <v>21.27</v>
      </c>
      <c r="XN46" s="91">
        <f t="shared" si="380"/>
        <v>105.07757404795488</v>
      </c>
      <c r="XO46" s="20">
        <f t="shared" si="381"/>
        <v>21.27</v>
      </c>
      <c r="XP46" s="90">
        <f t="shared" si="382"/>
        <v>15.11</v>
      </c>
      <c r="XQ46" s="91">
        <f t="shared" si="383"/>
        <v>105.07757404795488</v>
      </c>
      <c r="XR46" s="102"/>
      <c r="XS46" s="90">
        <f t="shared" si="384"/>
        <v>4.09</v>
      </c>
      <c r="XT46" s="90">
        <f t="shared" si="385"/>
        <v>7.1</v>
      </c>
      <c r="XU46" s="90">
        <f t="shared" si="386"/>
        <v>4.62</v>
      </c>
      <c r="XV46" s="90">
        <f t="shared" si="387"/>
        <v>1.59</v>
      </c>
      <c r="XW46" s="90">
        <f t="shared" si="388"/>
        <v>0.79</v>
      </c>
      <c r="XX46" s="90">
        <f t="shared" si="389"/>
        <v>0.8</v>
      </c>
      <c r="XY46" s="90">
        <f t="shared" si="390"/>
        <v>0.89</v>
      </c>
      <c r="XZ46" s="90">
        <f t="shared" si="391"/>
        <v>0</v>
      </c>
      <c r="YA46" s="90">
        <f t="shared" si="392"/>
        <v>0</v>
      </c>
      <c r="YB46" s="90">
        <f t="shared" si="552"/>
        <v>0</v>
      </c>
      <c r="YC46" s="90">
        <f t="shared" si="552"/>
        <v>0</v>
      </c>
      <c r="YD46" s="90">
        <f t="shared" si="394"/>
        <v>0.89</v>
      </c>
      <c r="YE46" s="90">
        <f t="shared" si="395"/>
        <v>10.3</v>
      </c>
      <c r="YF46" s="90">
        <f t="shared" si="396"/>
        <v>0.86</v>
      </c>
      <c r="YG46" s="90">
        <f t="shared" si="397"/>
        <v>22.35</v>
      </c>
      <c r="YI46" s="103" t="s">
        <v>442</v>
      </c>
      <c r="YK46" s="90">
        <f t="shared" si="398"/>
        <v>1.07</v>
      </c>
      <c r="YL46" s="90">
        <f t="shared" si="553"/>
        <v>0.79</v>
      </c>
      <c r="YM46" s="90">
        <f t="shared" si="553"/>
        <v>0.89</v>
      </c>
      <c r="YN46" s="90">
        <f t="shared" si="400"/>
        <v>4.09</v>
      </c>
      <c r="YO46" s="90">
        <f t="shared" si="401"/>
        <v>15.51</v>
      </c>
      <c r="YP46" s="90">
        <f t="shared" si="402"/>
        <v>0</v>
      </c>
      <c r="YQ46" s="90">
        <f t="shared" si="403"/>
        <v>22.35</v>
      </c>
      <c r="YR46" s="90">
        <f t="shared" si="404"/>
        <v>0</v>
      </c>
      <c r="YS46" s="104">
        <f t="shared" si="405"/>
        <v>22.35</v>
      </c>
      <c r="YT46" s="104">
        <f t="shared" si="406"/>
        <v>0</v>
      </c>
      <c r="YY46" s="90">
        <f t="shared" si="407"/>
        <v>9.120000000000001</v>
      </c>
      <c r="YZ46" s="90">
        <f t="shared" si="408"/>
        <v>4.9800000000000004</v>
      </c>
      <c r="ZA46" s="90">
        <f t="shared" si="409"/>
        <v>0.83</v>
      </c>
      <c r="ZB46" s="90">
        <f t="shared" si="410"/>
        <v>2.5099999999999998</v>
      </c>
      <c r="ZC46" s="90">
        <f t="shared" si="411"/>
        <v>0.8</v>
      </c>
      <c r="ZD46" s="90">
        <f t="shared" si="412"/>
        <v>0</v>
      </c>
      <c r="ZE46" s="90">
        <f t="shared" si="413"/>
        <v>0</v>
      </c>
      <c r="ZF46" s="90">
        <f t="shared" si="414"/>
        <v>0</v>
      </c>
      <c r="ZG46" s="90">
        <f t="shared" si="415"/>
        <v>0</v>
      </c>
      <c r="ZH46" s="90">
        <f t="shared" si="416"/>
        <v>0</v>
      </c>
      <c r="ZI46" s="90">
        <f t="shared" si="417"/>
        <v>0</v>
      </c>
      <c r="ZJ46" s="90">
        <f t="shared" si="418"/>
        <v>0</v>
      </c>
      <c r="ZK46" s="90">
        <f t="shared" si="419"/>
        <v>0</v>
      </c>
      <c r="ZL46" s="90">
        <f t="shared" si="420"/>
        <v>0</v>
      </c>
      <c r="ZM46" s="90">
        <f t="shared" si="421"/>
        <v>4.6100000000000003</v>
      </c>
      <c r="ZN46" s="90">
        <f t="shared" si="422"/>
        <v>13.44</v>
      </c>
      <c r="ZO46" s="90">
        <f t="shared" si="423"/>
        <v>11.19</v>
      </c>
      <c r="ZP46" s="90">
        <f t="shared" si="424"/>
        <v>10.93</v>
      </c>
      <c r="ZQ46" s="90">
        <f t="shared" si="425"/>
        <v>0</v>
      </c>
      <c r="ZR46" s="90">
        <f t="shared" si="426"/>
        <v>10.93</v>
      </c>
      <c r="ZS46" s="97">
        <v>227</v>
      </c>
      <c r="ZT46" s="97">
        <v>230.38</v>
      </c>
      <c r="ZU46" s="90">
        <f t="shared" si="427"/>
        <v>0.77</v>
      </c>
      <c r="ZV46" s="90">
        <f t="shared" si="428"/>
        <v>0.27</v>
      </c>
      <c r="ZW46" s="90">
        <v>0.11989898989898991</v>
      </c>
      <c r="ZX46" s="90">
        <f t="shared" si="429"/>
        <v>0.25700000000000001</v>
      </c>
      <c r="ZY46" s="90">
        <v>0.38175323599898991</v>
      </c>
      <c r="ZZ46" s="90">
        <f t="shared" si="430"/>
        <v>1.04</v>
      </c>
      <c r="AAA46" s="90">
        <f t="shared" si="431"/>
        <v>25.7</v>
      </c>
      <c r="AAB46" s="90">
        <f t="shared" si="432"/>
        <v>25.7</v>
      </c>
      <c r="AAC46" s="90">
        <f t="shared" si="433"/>
        <v>0</v>
      </c>
      <c r="AAD46" s="90"/>
      <c r="AAE46" s="90">
        <f t="shared" si="434"/>
        <v>25.7</v>
      </c>
      <c r="AAF46" s="90">
        <v>22.35</v>
      </c>
      <c r="AAG46" s="90">
        <f t="shared" si="435"/>
        <v>114.98881431767336</v>
      </c>
      <c r="AAH46" s="90">
        <f t="shared" si="436"/>
        <v>0</v>
      </c>
      <c r="AAI46" s="90">
        <v>0</v>
      </c>
      <c r="AAJ46" s="90"/>
      <c r="AAK46" s="1">
        <v>23.28</v>
      </c>
      <c r="AAL46" s="104">
        <f t="shared" si="437"/>
        <v>2.4199999999999982</v>
      </c>
      <c r="AAM46" s="103" t="s">
        <v>439</v>
      </c>
      <c r="AAN46" s="105">
        <v>8.68</v>
      </c>
      <c r="AAO46" s="90">
        <f t="shared" si="438"/>
        <v>9.990000000000002</v>
      </c>
      <c r="AAP46" s="90">
        <v>4.97</v>
      </c>
      <c r="AAQ46" s="90">
        <f t="shared" si="439"/>
        <v>4.9800000000000004</v>
      </c>
      <c r="AAR46" s="90">
        <v>0.83</v>
      </c>
      <c r="AAS46" s="90">
        <f t="shared" si="440"/>
        <v>1.24</v>
      </c>
      <c r="AAT46" s="90">
        <f t="shared" si="441"/>
        <v>149.39759036144579</v>
      </c>
      <c r="AAU46" s="90">
        <v>2.08</v>
      </c>
      <c r="AAV46" s="90">
        <f t="shared" si="442"/>
        <v>2.5099999999999998</v>
      </c>
      <c r="AAW46" s="90">
        <f t="shared" si="443"/>
        <v>120.67307692307692</v>
      </c>
      <c r="AAX46" s="90">
        <f t="shared" si="444"/>
        <v>0.46</v>
      </c>
      <c r="AAY46" s="90">
        <f t="shared" si="445"/>
        <v>0.8</v>
      </c>
      <c r="AAZ46" s="90">
        <f t="shared" si="446"/>
        <v>0</v>
      </c>
      <c r="ABA46" s="90">
        <f t="shared" si="447"/>
        <v>0</v>
      </c>
      <c r="ABB46" s="90">
        <f t="shared" si="448"/>
        <v>0</v>
      </c>
      <c r="ABC46" s="90">
        <v>0</v>
      </c>
      <c r="ABD46" s="90">
        <f t="shared" si="449"/>
        <v>0</v>
      </c>
      <c r="ABE46" s="90"/>
      <c r="ABF46" s="90">
        <v>0</v>
      </c>
      <c r="ABG46" s="90">
        <f t="shared" si="450"/>
        <v>0</v>
      </c>
      <c r="ABH46" s="90"/>
      <c r="ABI46" s="90">
        <f t="shared" si="451"/>
        <v>0</v>
      </c>
      <c r="ABJ46" s="90">
        <f t="shared" si="452"/>
        <v>0</v>
      </c>
      <c r="ABK46" s="90">
        <v>0</v>
      </c>
      <c r="ABL46" s="90">
        <f t="shared" si="453"/>
        <v>0</v>
      </c>
      <c r="ABM46" s="90">
        <f t="shared" si="454"/>
        <v>0</v>
      </c>
      <c r="ABN46" s="90">
        <f t="shared" si="455"/>
        <v>0</v>
      </c>
      <c r="ABO46" s="90">
        <v>4.3899999999999997</v>
      </c>
      <c r="ABP46" s="90">
        <f t="shared" si="456"/>
        <v>4.6100000000000003</v>
      </c>
      <c r="ABQ46" s="90">
        <f t="shared" si="457"/>
        <v>105.01138952164011</v>
      </c>
      <c r="ABR46" s="90">
        <f t="shared" si="458"/>
        <v>13.44</v>
      </c>
      <c r="ABS46" s="90">
        <f t="shared" si="459"/>
        <v>11.19</v>
      </c>
      <c r="ABT46" s="90">
        <v>9.3000000000000007</v>
      </c>
      <c r="ABU46" s="90">
        <f t="shared" si="460"/>
        <v>10.93</v>
      </c>
      <c r="ABV46" s="90">
        <f t="shared" si="461"/>
        <v>117.52688172043008</v>
      </c>
      <c r="ABW46" s="90">
        <f t="shared" si="462"/>
        <v>0</v>
      </c>
      <c r="ABX46" s="90">
        <f t="shared" si="463"/>
        <v>10.93</v>
      </c>
      <c r="ABY46" s="97">
        <v>227</v>
      </c>
      <c r="ABZ46" s="97">
        <v>230.38</v>
      </c>
      <c r="ACA46" s="90">
        <f t="shared" si="464"/>
        <v>0.77</v>
      </c>
      <c r="ACB46" s="90">
        <f t="shared" si="465"/>
        <v>0.27</v>
      </c>
      <c r="ACC46" s="90">
        <v>0.11989898989898991</v>
      </c>
      <c r="ACD46" s="90">
        <f t="shared" si="466"/>
        <v>0.2611</v>
      </c>
      <c r="ACE46" s="90">
        <v>0.38175323599898991</v>
      </c>
      <c r="ACF46" s="90">
        <v>0.9</v>
      </c>
      <c r="ACG46" s="90">
        <f t="shared" si="467"/>
        <v>1.04</v>
      </c>
      <c r="ACH46" s="90">
        <f t="shared" si="468"/>
        <v>115.55555555555557</v>
      </c>
      <c r="ACI46" s="90">
        <f t="shared" si="469"/>
        <v>26.57</v>
      </c>
      <c r="ACJ46" s="90">
        <f t="shared" si="470"/>
        <v>26.11</v>
      </c>
      <c r="ACK46" s="90">
        <f t="shared" si="471"/>
        <v>-0.46000000000000085</v>
      </c>
      <c r="ACL46" s="90"/>
      <c r="ACM46" s="90">
        <f t="shared" si="472"/>
        <v>26.57</v>
      </c>
      <c r="ACN46" s="90">
        <f t="shared" si="473"/>
        <v>0</v>
      </c>
      <c r="ACO46" s="90">
        <f t="shared" si="474"/>
        <v>26.57</v>
      </c>
      <c r="ACP46" s="90">
        <v>23.27</v>
      </c>
      <c r="ACQ46" s="90">
        <f t="shared" si="475"/>
        <v>114.18134937688012</v>
      </c>
      <c r="ACR46" s="90">
        <f t="shared" si="476"/>
        <v>0</v>
      </c>
      <c r="ACS46" s="90">
        <v>0</v>
      </c>
      <c r="ACT46" s="90"/>
      <c r="ACU46" s="90">
        <f t="shared" si="477"/>
        <v>24.456769999999999</v>
      </c>
      <c r="ACV46" s="90">
        <f t="shared" si="478"/>
        <v>-2.1132300000000015</v>
      </c>
      <c r="ACX46" s="106" t="s">
        <v>538</v>
      </c>
      <c r="ACY46" s="107">
        <f>12500+67000</f>
        <v>79500</v>
      </c>
      <c r="ACZ46" s="107">
        <v>67000</v>
      </c>
      <c r="ADB46" s="90">
        <f t="shared" si="479"/>
        <v>4.6100000000000003</v>
      </c>
      <c r="ADC46" s="90">
        <f t="shared" si="480"/>
        <v>9.99</v>
      </c>
      <c r="ADD46" s="90">
        <f t="shared" si="481"/>
        <v>4.9800000000000004</v>
      </c>
      <c r="ADE46" s="90">
        <f t="shared" si="517"/>
        <v>2.5</v>
      </c>
      <c r="ADF46" s="90">
        <f t="shared" si="483"/>
        <v>1.24</v>
      </c>
      <c r="ADG46" s="90">
        <f t="shared" si="554"/>
        <v>0.46</v>
      </c>
      <c r="ADH46" s="90">
        <f t="shared" si="554"/>
        <v>0.8</v>
      </c>
      <c r="ADI46" s="90">
        <f t="shared" si="554"/>
        <v>0</v>
      </c>
      <c r="ADJ46" s="90">
        <f t="shared" si="485"/>
        <v>2.5099999999999998</v>
      </c>
      <c r="ADK46" s="90">
        <f t="shared" si="486"/>
        <v>0</v>
      </c>
      <c r="ADL46" s="90">
        <f t="shared" si="487"/>
        <v>0</v>
      </c>
      <c r="ADM46" s="90">
        <f t="shared" si="555"/>
        <v>0</v>
      </c>
      <c r="ADN46" s="90">
        <f t="shared" si="555"/>
        <v>0</v>
      </c>
      <c r="ADO46" s="90">
        <f t="shared" si="489"/>
        <v>2.5099999999999998</v>
      </c>
      <c r="ADP46" s="90">
        <f t="shared" si="490"/>
        <v>10.93</v>
      </c>
      <c r="ADQ46" s="90">
        <f t="shared" si="491"/>
        <v>1.04</v>
      </c>
      <c r="ADR46" s="90">
        <f t="shared" si="492"/>
        <v>26.57</v>
      </c>
      <c r="ADU46" s="90">
        <f t="shared" si="493"/>
        <v>1.1499999999999999</v>
      </c>
      <c r="ADV46" s="90">
        <f t="shared" si="494"/>
        <v>1.24</v>
      </c>
      <c r="ADW46" s="90">
        <f t="shared" si="495"/>
        <v>2.5099999999999998</v>
      </c>
      <c r="ADX46" s="90">
        <f t="shared" si="496"/>
        <v>4.6100000000000003</v>
      </c>
      <c r="ADY46" s="90">
        <f t="shared" si="497"/>
        <v>16.600000000000001</v>
      </c>
      <c r="ADZ46" s="90">
        <f t="shared" si="498"/>
        <v>0</v>
      </c>
      <c r="AEA46" s="90">
        <f t="shared" si="499"/>
        <v>26.57</v>
      </c>
      <c r="AEB46" s="90">
        <f t="shared" si="500"/>
        <v>0</v>
      </c>
      <c r="AEC46" s="104">
        <f t="shared" si="501"/>
        <v>26.11</v>
      </c>
      <c r="AED46" s="104">
        <f t="shared" si="502"/>
        <v>0.46000000000000085</v>
      </c>
      <c r="AEG46" s="1">
        <v>8.68</v>
      </c>
      <c r="AEH46" s="1">
        <v>4.97</v>
      </c>
      <c r="AEI46" s="1">
        <v>0.83</v>
      </c>
      <c r="AEJ46" s="1">
        <v>2.08</v>
      </c>
      <c r="AEK46" s="1">
        <v>0</v>
      </c>
      <c r="AEL46" s="1">
        <v>0.8</v>
      </c>
      <c r="AEM46" s="1">
        <v>0</v>
      </c>
      <c r="AEN46" s="1">
        <v>0</v>
      </c>
      <c r="AEO46" s="1">
        <v>0</v>
      </c>
      <c r="AEP46" s="1">
        <v>0</v>
      </c>
      <c r="AEQ46" s="1">
        <v>0</v>
      </c>
      <c r="AER46" s="1">
        <v>0</v>
      </c>
      <c r="AES46" s="1">
        <v>0</v>
      </c>
      <c r="AET46" s="1">
        <v>0</v>
      </c>
      <c r="AEU46" s="1">
        <v>0</v>
      </c>
      <c r="AEV46" s="1">
        <v>0</v>
      </c>
      <c r="AEW46" s="1">
        <v>4.3899999999999997</v>
      </c>
      <c r="AEX46" s="1">
        <v>11.38</v>
      </c>
      <c r="AEY46" s="1">
        <v>11.19</v>
      </c>
      <c r="AEZ46" s="1">
        <v>9.3000000000000007</v>
      </c>
      <c r="AFA46" s="1">
        <v>0</v>
      </c>
      <c r="AFB46" s="1">
        <v>9.3000000000000007</v>
      </c>
      <c r="AFC46" s="1">
        <v>227</v>
      </c>
      <c r="AFD46" s="1">
        <v>230.38</v>
      </c>
      <c r="AFE46" s="1">
        <v>0.67</v>
      </c>
      <c r="AFF46" s="1">
        <v>0.23</v>
      </c>
      <c r="AFG46" s="1">
        <v>0.11989898989898991</v>
      </c>
      <c r="AFH46" s="1">
        <v>0.23269999999999999</v>
      </c>
      <c r="AFI46" s="1">
        <v>0.38175323599898991</v>
      </c>
      <c r="AFJ46" s="1">
        <v>0.9</v>
      </c>
      <c r="AFK46" s="1">
        <v>23.27</v>
      </c>
      <c r="AFL46" s="1">
        <v>23.27</v>
      </c>
      <c r="AFM46" s="1">
        <v>0</v>
      </c>
      <c r="AFO46" s="1">
        <v>23.27</v>
      </c>
      <c r="AFP46" s="1">
        <v>0</v>
      </c>
      <c r="AFQ46" s="1">
        <v>23.28</v>
      </c>
      <c r="AFX46" s="1">
        <v>24.49</v>
      </c>
    </row>
    <row r="47" spans="1:856" s="1" customFormat="1" ht="63.75" customHeight="1">
      <c r="A47" s="88">
        <v>39</v>
      </c>
      <c r="B47" s="20"/>
      <c r="C47" s="89" t="s">
        <v>539</v>
      </c>
      <c r="D47" s="20"/>
      <c r="E47" s="20" t="s">
        <v>536</v>
      </c>
      <c r="F47" s="20" t="s">
        <v>537</v>
      </c>
      <c r="G47" s="20">
        <v>1.2</v>
      </c>
      <c r="H47" s="20">
        <v>718.6</v>
      </c>
      <c r="I47" s="20">
        <v>718.6</v>
      </c>
      <c r="J47" s="20">
        <f t="shared" si="0"/>
        <v>862.32</v>
      </c>
      <c r="K47" s="20">
        <v>16</v>
      </c>
      <c r="L47" s="20"/>
      <c r="M47" s="20"/>
      <c r="N47" s="20"/>
      <c r="O47" s="90">
        <f t="shared" si="1"/>
        <v>0</v>
      </c>
      <c r="P47" s="20"/>
      <c r="Q47" s="20"/>
      <c r="R47" s="90">
        <f t="shared" si="2"/>
        <v>0</v>
      </c>
      <c r="S47" s="20">
        <v>54.8</v>
      </c>
      <c r="T47" s="20">
        <v>2.6</v>
      </c>
      <c r="U47" s="20">
        <v>3.13</v>
      </c>
      <c r="V47" s="91">
        <f t="shared" si="3"/>
        <v>445.96</v>
      </c>
      <c r="W47" s="20">
        <v>2.1000000000000001E-2</v>
      </c>
      <c r="X47" s="20">
        <f t="shared" si="4"/>
        <v>33.42</v>
      </c>
      <c r="Y47" s="91">
        <f t="shared" si="5"/>
        <v>38.46</v>
      </c>
      <c r="Z47" s="20">
        <v>1.7999999999999999E-2</v>
      </c>
      <c r="AA47" s="20">
        <f t="shared" si="561"/>
        <v>171.12</v>
      </c>
      <c r="AB47" s="91">
        <f t="shared" si="562"/>
        <v>168.79</v>
      </c>
      <c r="AC47" s="91">
        <f t="shared" si="6"/>
        <v>653.21</v>
      </c>
      <c r="AD47" s="90">
        <f t="shared" si="7"/>
        <v>0.91</v>
      </c>
      <c r="AE47" s="92">
        <f t="shared" si="8"/>
        <v>7838.52</v>
      </c>
      <c r="AF47" s="20">
        <v>29</v>
      </c>
      <c r="AG47" s="20">
        <v>27</v>
      </c>
      <c r="AH47" s="20">
        <v>27</v>
      </c>
      <c r="AI47" s="20">
        <v>31</v>
      </c>
      <c r="AJ47" s="20">
        <v>1.6</v>
      </c>
      <c r="AK47" s="90">
        <f t="shared" si="9"/>
        <v>3.6</v>
      </c>
      <c r="AL47" s="90">
        <v>391.01</v>
      </c>
      <c r="AM47" s="90">
        <f t="shared" si="10"/>
        <v>1407.64</v>
      </c>
      <c r="AN47" s="20">
        <v>31</v>
      </c>
      <c r="AO47" s="20">
        <v>29</v>
      </c>
      <c r="AP47" s="20">
        <v>29</v>
      </c>
      <c r="AQ47" s="20">
        <v>31</v>
      </c>
      <c r="AR47" s="20">
        <v>29</v>
      </c>
      <c r="AS47" s="20">
        <v>33</v>
      </c>
      <c r="AT47" s="20">
        <f t="shared" si="11"/>
        <v>2</v>
      </c>
      <c r="AU47" s="20">
        <v>1.6</v>
      </c>
      <c r="AV47" s="90">
        <f t="shared" si="12"/>
        <v>3.87</v>
      </c>
      <c r="AW47" s="90">
        <f t="shared" si="551"/>
        <v>188.88</v>
      </c>
      <c r="AX47" s="90">
        <v>831.07</v>
      </c>
      <c r="AY47" s="90">
        <f t="shared" si="14"/>
        <v>1.1599999999999999</v>
      </c>
      <c r="AZ47" s="90">
        <f t="shared" si="15"/>
        <v>1511.91</v>
      </c>
      <c r="BA47" s="90">
        <f t="shared" si="16"/>
        <v>-680.84</v>
      </c>
      <c r="BB47" s="90">
        <v>831.07</v>
      </c>
      <c r="BC47" s="90">
        <v>1.1599999999999999</v>
      </c>
      <c r="BD47" s="92">
        <f t="shared" si="17"/>
        <v>9972.84</v>
      </c>
      <c r="BE47" s="90"/>
      <c r="BF47" s="90">
        <f t="shared" si="18"/>
        <v>0</v>
      </c>
      <c r="BG47" s="90">
        <v>391.01</v>
      </c>
      <c r="BH47" s="90">
        <f t="shared" si="19"/>
        <v>1513.21</v>
      </c>
      <c r="BI47" s="90">
        <f t="shared" si="20"/>
        <v>2.11</v>
      </c>
      <c r="BJ47" s="90">
        <f t="shared" si="21"/>
        <v>181.89655172413794</v>
      </c>
      <c r="BK47" s="90">
        <f t="shared" si="22"/>
        <v>1513.21</v>
      </c>
      <c r="BL47" s="90">
        <f t="shared" si="23"/>
        <v>2.11</v>
      </c>
      <c r="BM47" s="90"/>
      <c r="BN47" s="90">
        <f t="shared" si="24"/>
        <v>0</v>
      </c>
      <c r="BO47" s="90">
        <f t="shared" si="25"/>
        <v>1513.21</v>
      </c>
      <c r="BP47" s="90">
        <f t="shared" si="26"/>
        <v>2.1057751182855551</v>
      </c>
      <c r="BQ47" s="90"/>
      <c r="BR47" s="90">
        <f t="shared" si="27"/>
        <v>0</v>
      </c>
      <c r="BS47" s="90">
        <f t="shared" si="28"/>
        <v>1513.21</v>
      </c>
      <c r="BT47" s="90">
        <f t="shared" si="29"/>
        <v>2.1057751182855551</v>
      </c>
      <c r="BU47" s="90"/>
      <c r="BV47" s="93">
        <v>1.7027650000000001</v>
      </c>
      <c r="BW47" s="90">
        <f t="shared" si="30"/>
        <v>1223.606929</v>
      </c>
      <c r="BX47" s="90">
        <f t="shared" si="31"/>
        <v>1297.0233447400001</v>
      </c>
      <c r="BY47" s="90"/>
      <c r="BZ47" s="90">
        <v>1678.2665143400002</v>
      </c>
      <c r="CA47" s="90">
        <v>0.37305430897000003</v>
      </c>
      <c r="CB47" s="90">
        <f t="shared" si="556"/>
        <v>268.076826425842</v>
      </c>
      <c r="CC47" s="90">
        <v>0.37305430897000003</v>
      </c>
      <c r="CD47" s="90">
        <f t="shared" si="563"/>
        <v>268.076826425842</v>
      </c>
      <c r="CE47" s="90">
        <f t="shared" si="564"/>
        <v>268.076826425842</v>
      </c>
      <c r="CF47" s="90">
        <v>259.98508986274112</v>
      </c>
      <c r="CG47" s="90">
        <v>259.98508986274112</v>
      </c>
      <c r="CH47" s="90">
        <f t="shared" si="565"/>
        <v>259.99</v>
      </c>
      <c r="CI47" s="90">
        <f t="shared" si="524"/>
        <v>273.84279379681089</v>
      </c>
      <c r="CJ47" s="90">
        <f t="shared" si="36"/>
        <v>274.29000000000002</v>
      </c>
      <c r="CK47" s="90">
        <f t="shared" si="37"/>
        <v>295.44210835762482</v>
      </c>
      <c r="CL47" s="90">
        <f t="shared" si="38"/>
        <v>295.44210835762482</v>
      </c>
      <c r="CM47" s="94">
        <v>0.14899999999999999</v>
      </c>
      <c r="CN47" s="90">
        <f t="shared" si="39"/>
        <v>182.31743242100001</v>
      </c>
      <c r="CO47" s="90">
        <f t="shared" si="40"/>
        <v>193.25647836626001</v>
      </c>
      <c r="CP47" s="90">
        <v>250.06202099999999</v>
      </c>
      <c r="CQ47" s="90">
        <v>5.0232736819999999E-2</v>
      </c>
      <c r="CR47" s="90">
        <f t="shared" si="557"/>
        <v>36.097244678852</v>
      </c>
      <c r="CS47" s="90">
        <v>5.0232736819999999E-2</v>
      </c>
      <c r="CT47" s="90">
        <f t="shared" si="566"/>
        <v>36.097244678852</v>
      </c>
      <c r="CU47" s="90">
        <f t="shared" si="567"/>
        <v>36.097244678852</v>
      </c>
      <c r="CV47" s="90">
        <v>74.575706512856655</v>
      </c>
      <c r="CW47" s="90">
        <f t="shared" si="568"/>
        <v>74.58</v>
      </c>
      <c r="CX47" s="90">
        <f t="shared" si="525"/>
        <v>78.553773458079746</v>
      </c>
      <c r="CY47" s="90">
        <f t="shared" si="45"/>
        <v>78.680000000000007</v>
      </c>
      <c r="CZ47" s="90">
        <f t="shared" si="46"/>
        <v>84.749692070124453</v>
      </c>
      <c r="DA47" s="90">
        <f t="shared" si="47"/>
        <v>84.749692070124453</v>
      </c>
      <c r="DB47" s="93">
        <v>1.1979820000000001</v>
      </c>
      <c r="DC47" s="90">
        <f t="shared" si="48"/>
        <v>860.86986520000005</v>
      </c>
      <c r="DD47" s="90">
        <f t="shared" si="49"/>
        <v>912.52205711200008</v>
      </c>
      <c r="DE47" s="90"/>
      <c r="DF47" s="90">
        <v>486.89786201945304</v>
      </c>
      <c r="DG47" s="90">
        <v>0.28219173505</v>
      </c>
      <c r="DH47" s="90">
        <f t="shared" si="558"/>
        <v>202.78298080693</v>
      </c>
      <c r="DI47" s="90">
        <v>0.28219173505</v>
      </c>
      <c r="DJ47" s="90">
        <f t="shared" si="569"/>
        <v>202.78298080693</v>
      </c>
      <c r="DK47" s="90">
        <f t="shared" si="570"/>
        <v>202.78298080693</v>
      </c>
      <c r="DL47" s="90">
        <v>164.19707930956906</v>
      </c>
      <c r="DM47" s="90">
        <f t="shared" si="571"/>
        <v>164.2</v>
      </c>
      <c r="DN47" s="90">
        <f t="shared" si="526"/>
        <v>172.94890857893125</v>
      </c>
      <c r="DO47" s="90">
        <f t="shared" si="54"/>
        <v>173.23</v>
      </c>
      <c r="DP47" s="90">
        <f t="shared" si="55"/>
        <v>186.59023113320507</v>
      </c>
      <c r="DQ47" s="90">
        <f t="shared" si="56"/>
        <v>186.59023113320507</v>
      </c>
      <c r="DR47" s="93">
        <v>4.2594E-2</v>
      </c>
      <c r="DS47" s="90">
        <f t="shared" si="57"/>
        <v>30.608048400000001</v>
      </c>
      <c r="DT47" s="90">
        <f t="shared" si="58"/>
        <v>32.444531304000002</v>
      </c>
      <c r="DU47" s="90">
        <v>18.416056866469408</v>
      </c>
      <c r="DV47" s="90">
        <v>1.366632888E-2</v>
      </c>
      <c r="DW47" s="90">
        <f t="shared" si="559"/>
        <v>9.820623933168001</v>
      </c>
      <c r="DX47" s="90">
        <v>1.366632888E-2</v>
      </c>
      <c r="DY47" s="90">
        <f t="shared" si="572"/>
        <v>9.820623933168001</v>
      </c>
      <c r="DZ47" s="90">
        <f t="shared" si="573"/>
        <v>9.820623933168001</v>
      </c>
      <c r="EA47" s="90">
        <f t="shared" si="574"/>
        <v>9.82</v>
      </c>
      <c r="EB47" s="90">
        <f t="shared" si="527"/>
        <v>10.34322948992147</v>
      </c>
      <c r="EC47" s="90">
        <f t="shared" si="63"/>
        <v>10.36</v>
      </c>
      <c r="ED47" s="90">
        <f t="shared" si="64"/>
        <v>11.159050363751973</v>
      </c>
      <c r="EE47" s="90">
        <f t="shared" si="65"/>
        <v>11.159050363751973</v>
      </c>
      <c r="EF47" s="94">
        <v>0.85293354333000004</v>
      </c>
      <c r="EG47" s="90">
        <f t="shared" si="66"/>
        <v>735.50165308432565</v>
      </c>
      <c r="EH47" s="90">
        <f t="shared" si="67"/>
        <v>779.63175226938529</v>
      </c>
      <c r="EI47" s="90">
        <v>629.5913611159076</v>
      </c>
      <c r="EJ47" s="90">
        <v>0.16695248382</v>
      </c>
      <c r="EK47" s="90">
        <f>$I47*EJ47</f>
        <v>119.972054873052</v>
      </c>
      <c r="EL47" s="90">
        <v>0.16695248382</v>
      </c>
      <c r="EM47" s="90">
        <f t="shared" si="575"/>
        <v>119.972054873052</v>
      </c>
      <c r="EN47" s="90">
        <f t="shared" si="576"/>
        <v>119.972054873052</v>
      </c>
      <c r="EO47" s="90">
        <v>116.74235400486906</v>
      </c>
      <c r="EP47" s="90">
        <f t="shared" si="577"/>
        <v>116.74</v>
      </c>
      <c r="EQ47" s="90">
        <f t="shared" si="528"/>
        <v>122.96014365106232</v>
      </c>
      <c r="ER47" s="90">
        <f t="shared" si="72"/>
        <v>123.16</v>
      </c>
      <c r="ES47" s="90">
        <f t="shared" si="73"/>
        <v>132.65860890676223</v>
      </c>
      <c r="ET47" s="90">
        <f t="shared" si="74"/>
        <v>132.65860890676223</v>
      </c>
      <c r="EU47" s="94">
        <v>0.14899999999999999</v>
      </c>
      <c r="EV47" s="90">
        <f t="shared" si="75"/>
        <v>109.58974630956452</v>
      </c>
      <c r="EW47" s="90">
        <f t="shared" si="76"/>
        <v>116.16513108813839</v>
      </c>
      <c r="EX47" s="90">
        <v>93.82162745074011</v>
      </c>
      <c r="EY47" s="90">
        <v>2.4876671749999999E-2</v>
      </c>
      <c r="EZ47" s="90">
        <f>$I47*EY47</f>
        <v>17.876376319550001</v>
      </c>
      <c r="FA47" s="90">
        <v>2.4876671749999999E-2</v>
      </c>
      <c r="FB47" s="90">
        <f t="shared" si="578"/>
        <v>17.876376319550001</v>
      </c>
      <c r="FC47" s="90">
        <f t="shared" si="579"/>
        <v>17.876376319550001</v>
      </c>
      <c r="FD47" s="90">
        <v>36.084038010425935</v>
      </c>
      <c r="FE47" s="90">
        <f t="shared" si="580"/>
        <v>36.08</v>
      </c>
      <c r="FF47" s="90">
        <f t="shared" si="529"/>
        <v>38.002415478245069</v>
      </c>
      <c r="FG47" s="90">
        <f t="shared" si="81"/>
        <v>38.06</v>
      </c>
      <c r="FH47" s="90">
        <f t="shared" si="82"/>
        <v>40.999851030974661</v>
      </c>
      <c r="FI47" s="90">
        <f t="shared" si="83"/>
        <v>40.999851030974661</v>
      </c>
      <c r="FJ47" s="93">
        <v>0.49981642240000002</v>
      </c>
      <c r="FK47" s="90">
        <f t="shared" si="84"/>
        <v>431.00169736396805</v>
      </c>
      <c r="FL47" s="90">
        <f t="shared" si="85"/>
        <v>456.86179920580616</v>
      </c>
      <c r="FM47" s="90">
        <v>347.29592796419934</v>
      </c>
      <c r="FN47" s="90">
        <v>0.10761684168000001</v>
      </c>
      <c r="FO47" s="90">
        <f>$I47*FN47</f>
        <v>77.333462431248009</v>
      </c>
      <c r="FP47" s="90">
        <v>0.10761684168000001</v>
      </c>
      <c r="FQ47" s="90">
        <f t="shared" si="581"/>
        <v>77.333462431248009</v>
      </c>
      <c r="FR47" s="90">
        <f t="shared" si="582"/>
        <v>77.333462431248009</v>
      </c>
      <c r="FS47" s="90">
        <v>59.998722458215639</v>
      </c>
      <c r="FT47" s="90">
        <f t="shared" si="89"/>
        <v>62.88</v>
      </c>
      <c r="FU47" s="90">
        <v>70.55467783501274</v>
      </c>
      <c r="FV47" s="90">
        <f t="shared" si="583"/>
        <v>70.55</v>
      </c>
      <c r="FW47" s="90">
        <f t="shared" si="530"/>
        <v>74.309046895515237</v>
      </c>
      <c r="FX47" s="90">
        <f t="shared" si="91"/>
        <v>74.430000000000007</v>
      </c>
      <c r="FY47" s="90">
        <f t="shared" si="92"/>
        <v>80.170163254857613</v>
      </c>
      <c r="FZ47" s="90">
        <f t="shared" si="93"/>
        <v>80.170163254857613</v>
      </c>
      <c r="GA47" s="94">
        <v>1.352261642E-2</v>
      </c>
      <c r="GB47" s="90">
        <f t="shared" si="94"/>
        <v>11.6608225912944</v>
      </c>
      <c r="GC47" s="90">
        <f t="shared" si="95"/>
        <v>12.360471946772064</v>
      </c>
      <c r="GD47" s="90">
        <v>10.137346110955765</v>
      </c>
      <c r="GE47" s="90">
        <v>2.9119942899999999E-3</v>
      </c>
      <c r="GF47" s="90">
        <f>$I47*GE47</f>
        <v>2.092559096794</v>
      </c>
      <c r="GG47" s="90">
        <v>2.9119942899999999E-3</v>
      </c>
      <c r="GH47" s="90">
        <f t="shared" si="584"/>
        <v>2.092559096794</v>
      </c>
      <c r="GI47" s="90">
        <f t="shared" si="585"/>
        <v>2.092559096794</v>
      </c>
      <c r="GJ47" s="90">
        <f t="shared" si="586"/>
        <v>2.09</v>
      </c>
      <c r="GK47" s="90">
        <f t="shared" si="531"/>
        <v>2.2013594331910253</v>
      </c>
      <c r="GL47" s="90">
        <f t="shared" si="100"/>
        <v>2.2000000000000002</v>
      </c>
      <c r="GM47" s="90">
        <f t="shared" si="101"/>
        <v>2.3749913706967027</v>
      </c>
      <c r="GN47" s="90">
        <f t="shared" si="102"/>
        <v>2.3749913706967027</v>
      </c>
      <c r="GO47" s="90">
        <v>3225.6</v>
      </c>
      <c r="GP47" s="90">
        <f t="shared" si="103"/>
        <v>268.8</v>
      </c>
      <c r="GQ47" s="90">
        <f>2116.8+554.4</f>
        <v>2671.2000000000003</v>
      </c>
      <c r="GR47" s="90">
        <f t="shared" si="104"/>
        <v>222.60000000000002</v>
      </c>
      <c r="GS47" s="90">
        <f t="shared" si="105"/>
        <v>491.40000000000003</v>
      </c>
      <c r="GT47" s="90">
        <f t="shared" si="106"/>
        <v>0.68</v>
      </c>
      <c r="GU47" s="90">
        <v>3684.48</v>
      </c>
      <c r="GV47" s="90">
        <f>2006.4+528.96</f>
        <v>2535.36</v>
      </c>
      <c r="GW47" s="90">
        <f t="shared" si="107"/>
        <v>518.32000000000005</v>
      </c>
      <c r="GX47" s="90">
        <f t="shared" si="108"/>
        <v>0.72</v>
      </c>
      <c r="GY47" s="90">
        <v>6584.64</v>
      </c>
      <c r="GZ47" s="90">
        <f>2134.08+565.44</f>
        <v>2699.52</v>
      </c>
      <c r="HA47" s="90">
        <f t="shared" si="109"/>
        <v>773.68</v>
      </c>
      <c r="HB47" s="90">
        <f t="shared" si="110"/>
        <v>1.08</v>
      </c>
      <c r="HC47" s="90">
        <v>6584.64</v>
      </c>
      <c r="HD47" s="90">
        <f>2134.08+565.44</f>
        <v>2699.52</v>
      </c>
      <c r="HE47" s="90">
        <f t="shared" si="111"/>
        <v>773.68</v>
      </c>
      <c r="HF47" s="90">
        <f t="shared" si="112"/>
        <v>1.08</v>
      </c>
      <c r="HG47" s="90"/>
      <c r="HH47" s="90"/>
      <c r="HI47" s="90">
        <v>0.96</v>
      </c>
      <c r="HJ47" s="90">
        <f t="shared" si="113"/>
        <v>689.85599999999999</v>
      </c>
      <c r="HK47" s="90">
        <f t="shared" si="114"/>
        <v>1.0099220706930141</v>
      </c>
      <c r="HL47" s="90">
        <f t="shared" si="587"/>
        <v>725.73</v>
      </c>
      <c r="HM47" s="90">
        <v>1.07</v>
      </c>
      <c r="HN47" s="90">
        <f t="shared" si="116"/>
        <v>768.90200000000004</v>
      </c>
      <c r="HO47" s="90">
        <v>1.1499999999999999</v>
      </c>
      <c r="HP47" s="90">
        <f t="shared" si="117"/>
        <v>826.39</v>
      </c>
      <c r="HQ47" s="90">
        <v>1.1499999999999999</v>
      </c>
      <c r="HR47" s="90">
        <f t="shared" si="118"/>
        <v>826.39</v>
      </c>
      <c r="HS47" s="90">
        <v>0.96</v>
      </c>
      <c r="HT47" s="90">
        <f t="shared" si="588"/>
        <v>689.85599999999999</v>
      </c>
      <c r="HU47" s="90" t="e">
        <f>HT47*#REF!</f>
        <v>#REF!</v>
      </c>
      <c r="HV47" s="90">
        <v>2.83</v>
      </c>
      <c r="HW47" s="20">
        <v>3.49</v>
      </c>
      <c r="HX47" s="90">
        <f t="shared" si="120"/>
        <v>2507.9140000000002</v>
      </c>
      <c r="HY47" s="90">
        <v>1.06</v>
      </c>
      <c r="HZ47" s="90">
        <f t="shared" si="121"/>
        <v>2658.3888400000005</v>
      </c>
      <c r="IA47" s="90">
        <f t="shared" si="122"/>
        <v>3.7</v>
      </c>
      <c r="IB47" s="90">
        <f t="shared" si="123"/>
        <v>3.88</v>
      </c>
      <c r="IC47" s="90">
        <f t="shared" si="124"/>
        <v>2788.1680000000001</v>
      </c>
      <c r="ID47" s="90">
        <f t="shared" si="125"/>
        <v>4.09</v>
      </c>
      <c r="IE47" s="90">
        <f t="shared" si="126"/>
        <v>2939.07</v>
      </c>
      <c r="IF47" s="90">
        <f t="shared" si="127"/>
        <v>4.09</v>
      </c>
      <c r="IG47" s="92">
        <f t="shared" si="128"/>
        <v>35268.840000000004</v>
      </c>
      <c r="IH47" s="90">
        <v>4.3899999999999997</v>
      </c>
      <c r="II47" s="90">
        <f t="shared" si="129"/>
        <v>4.6100000000000003</v>
      </c>
      <c r="IJ47" s="90">
        <f t="shared" si="130"/>
        <v>3312.75</v>
      </c>
      <c r="IK47" s="90">
        <f t="shared" si="131"/>
        <v>4.6100000000000003</v>
      </c>
      <c r="IL47" s="90">
        <f t="shared" si="132"/>
        <v>3312.75</v>
      </c>
      <c r="IM47" s="90">
        <f t="shared" si="133"/>
        <v>4.6100000000000003</v>
      </c>
      <c r="IN47" s="90">
        <f t="shared" si="134"/>
        <v>3312.75</v>
      </c>
      <c r="IO47" s="90">
        <f t="shared" si="135"/>
        <v>4.6100000000000003</v>
      </c>
      <c r="IP47" s="93">
        <v>0.37052404126999999</v>
      </c>
      <c r="IQ47" s="90">
        <f t="shared" si="136"/>
        <v>319.5102912679464</v>
      </c>
      <c r="IR47" s="90">
        <f t="shared" si="137"/>
        <v>338.68090874402321</v>
      </c>
      <c r="IS47" s="90">
        <v>18121.54</v>
      </c>
      <c r="IT47" s="90">
        <v>509.05</v>
      </c>
      <c r="IU47" s="90"/>
      <c r="IV47" s="90">
        <v>170.9900593437423</v>
      </c>
      <c r="IW47" s="90">
        <v>1.89119998663</v>
      </c>
      <c r="IX47" s="90">
        <f>$I47*IW47</f>
        <v>1359.016310392318</v>
      </c>
      <c r="IY47" s="90">
        <v>1.89119998663</v>
      </c>
      <c r="IZ47" s="90">
        <f t="shared" si="139"/>
        <v>1359.016310392318</v>
      </c>
      <c r="JA47" s="90">
        <f t="shared" si="589"/>
        <v>1323.09</v>
      </c>
      <c r="JB47" s="90">
        <f t="shared" si="532"/>
        <v>1393.5869150529729</v>
      </c>
      <c r="JC47" s="90">
        <f t="shared" si="141"/>
        <v>1395.86</v>
      </c>
      <c r="JD47" s="90">
        <f t="shared" si="142"/>
        <v>1503.505900791914</v>
      </c>
      <c r="JE47" s="90">
        <f t="shared" si="143"/>
        <v>1503.505900791914</v>
      </c>
      <c r="JF47" s="93">
        <v>4.2278943710000003E-2</v>
      </c>
      <c r="JG47" s="90">
        <f t="shared" si="144"/>
        <v>36.457978740007206</v>
      </c>
      <c r="JH47" s="90">
        <f t="shared" si="145"/>
        <v>38.645457464407642</v>
      </c>
      <c r="JI47" s="20">
        <v>101.71</v>
      </c>
      <c r="JJ47" s="90">
        <v>21.76062242723301</v>
      </c>
      <c r="JK47" s="90">
        <v>0.21559114040999999</v>
      </c>
      <c r="JL47" s="90">
        <f>$I47*JK47</f>
        <v>154.923793498626</v>
      </c>
      <c r="JM47" s="90">
        <v>0.21559114040999999</v>
      </c>
      <c r="JN47" s="90">
        <f t="shared" si="147"/>
        <v>154.923793498626</v>
      </c>
      <c r="JO47" s="90">
        <f t="shared" si="590"/>
        <v>154.91999999999999</v>
      </c>
      <c r="JP47" s="90">
        <f t="shared" si="533"/>
        <v>163.17445138275292</v>
      </c>
      <c r="JQ47" s="90">
        <f t="shared" si="149"/>
        <v>163.44</v>
      </c>
      <c r="JR47" s="90">
        <f t="shared" si="150"/>
        <v>176.04481490350869</v>
      </c>
      <c r="JS47" s="90">
        <f t="shared" si="151"/>
        <v>176.04481490350869</v>
      </c>
      <c r="JT47" s="93">
        <v>7.3220517000000002E-3</v>
      </c>
      <c r="JU47" s="90">
        <f t="shared" si="152"/>
        <v>6.3139516219440006</v>
      </c>
      <c r="JV47" s="90">
        <f t="shared" si="591"/>
        <v>6.31</v>
      </c>
      <c r="JW47" s="90">
        <f t="shared" si="534"/>
        <v>6.6462095805910852</v>
      </c>
      <c r="JX47" s="90">
        <f t="shared" si="154"/>
        <v>6.66</v>
      </c>
      <c r="JY47" s="90">
        <f t="shared" si="155"/>
        <v>7.1704284923905233</v>
      </c>
      <c r="JZ47" s="90">
        <f t="shared" si="156"/>
        <v>7.1704284923905233</v>
      </c>
      <c r="KA47" s="90">
        <v>1.1499999999999999</v>
      </c>
      <c r="KB47" s="90">
        <v>6.3139516219440006</v>
      </c>
      <c r="KC47" s="90" t="e">
        <f>KB47*#REF!</f>
        <v>#REF!</v>
      </c>
      <c r="KD47" s="90">
        <v>17952.740000000002</v>
      </c>
      <c r="KE47" s="90">
        <v>22700.14</v>
      </c>
      <c r="KF47" s="90"/>
      <c r="KG47" s="90">
        <f t="shared" si="550"/>
        <v>908.62568075959427</v>
      </c>
      <c r="KH47" s="90" t="e">
        <f>KG47/(BW47+#REF!)*(CB47+#REF!)</f>
        <v>#REF!</v>
      </c>
      <c r="KI47" s="90">
        <v>0.8</v>
      </c>
      <c r="KJ47" s="94"/>
      <c r="KK47" s="90">
        <f t="shared" si="159"/>
        <v>0</v>
      </c>
      <c r="KL47" s="93"/>
      <c r="KM47" s="90">
        <v>1241.1696435287042</v>
      </c>
      <c r="KN47" s="90">
        <f t="shared" si="161"/>
        <v>1315.6398221404265</v>
      </c>
      <c r="KO47" s="90" t="e">
        <f>BW47+CN47+DC47+DS47+EG47+EV47+FK47+GB47+#REF!+#REF!+HJ47+HX47+IQ47+JG47+JU47+KK47+KM47</f>
        <v>#REF!</v>
      </c>
      <c r="KP47" s="90">
        <v>979.49848385884275</v>
      </c>
      <c r="KQ47" s="90">
        <v>0.28334929455000002</v>
      </c>
      <c r="KR47" s="90">
        <f t="shared" si="560"/>
        <v>203.61480306363001</v>
      </c>
      <c r="KS47" s="90">
        <v>0.28334929455000002</v>
      </c>
      <c r="KT47" s="90">
        <f t="shared" si="592"/>
        <v>203.61480306363001</v>
      </c>
      <c r="KU47" s="90">
        <f t="shared" si="593"/>
        <v>203.61480306363001</v>
      </c>
      <c r="KV47" s="90">
        <f t="shared" si="594"/>
        <v>203.61</v>
      </c>
      <c r="KW47" s="90">
        <f t="shared" si="535"/>
        <v>214.4587532019257</v>
      </c>
      <c r="KX47" s="90">
        <f t="shared" si="166"/>
        <v>214.81</v>
      </c>
      <c r="KY47" s="90">
        <f t="shared" si="167"/>
        <v>231.37415932418935</v>
      </c>
      <c r="KZ47" s="90">
        <f t="shared" si="168"/>
        <v>231.37415932418935</v>
      </c>
      <c r="LA47" s="90">
        <f t="shared" si="169"/>
        <v>3319.93</v>
      </c>
      <c r="LB47" s="90">
        <f t="shared" si="170"/>
        <v>4.62</v>
      </c>
      <c r="LC47" s="92">
        <f t="shared" si="171"/>
        <v>39839.159999999996</v>
      </c>
      <c r="LD47" s="92">
        <v>4.97</v>
      </c>
      <c r="LE47" s="92">
        <v>3571.4400000000005</v>
      </c>
      <c r="LF47" s="90">
        <f t="shared" si="172"/>
        <v>4.9800000000000004</v>
      </c>
      <c r="LG47" s="90">
        <f t="shared" si="173"/>
        <v>3578.63</v>
      </c>
      <c r="LH47" s="90">
        <f t="shared" si="174"/>
        <v>3568.9247499999997</v>
      </c>
      <c r="LI47" s="90">
        <f t="shared" si="175"/>
        <v>4.97</v>
      </c>
      <c r="LJ47" s="90">
        <f t="shared" si="176"/>
        <v>3578.6299999999997</v>
      </c>
      <c r="LK47" s="90">
        <f t="shared" si="177"/>
        <v>4.9800000000000004</v>
      </c>
      <c r="LL47" s="90">
        <f t="shared" si="178"/>
        <v>3578.6299999999997</v>
      </c>
      <c r="LM47" s="90">
        <f t="shared" si="179"/>
        <v>4.9800000000000004</v>
      </c>
      <c r="LN47" s="95">
        <v>0.46</v>
      </c>
      <c r="LO47" s="95">
        <f t="shared" si="180"/>
        <v>330.56</v>
      </c>
      <c r="LP47" s="95"/>
      <c r="LQ47" s="95">
        <f t="shared" si="181"/>
        <v>0</v>
      </c>
      <c r="LR47" s="90"/>
      <c r="LS47" s="90"/>
      <c r="LT47" s="90">
        <f t="shared" si="182"/>
        <v>0</v>
      </c>
      <c r="LU47" s="90"/>
      <c r="LV47" s="90">
        <f t="shared" si="183"/>
        <v>0</v>
      </c>
      <c r="LW47" s="90">
        <f t="shared" si="184"/>
        <v>0</v>
      </c>
      <c r="LX47" s="90"/>
      <c r="LY47" s="90"/>
      <c r="LZ47" s="90">
        <f t="shared" si="185"/>
        <v>0</v>
      </c>
      <c r="MA47" s="90"/>
      <c r="MB47" s="90">
        <f t="shared" si="186"/>
        <v>0</v>
      </c>
      <c r="MC47" s="90">
        <f t="shared" si="187"/>
        <v>0</v>
      </c>
      <c r="MD47" s="90"/>
      <c r="ME47" s="90"/>
      <c r="MF47" s="90">
        <f t="shared" si="188"/>
        <v>0</v>
      </c>
      <c r="MG47" s="90"/>
      <c r="MH47" s="90">
        <f t="shared" si="189"/>
        <v>0</v>
      </c>
      <c r="MI47" s="90">
        <f t="shared" si="190"/>
        <v>0</v>
      </c>
      <c r="MJ47" s="90"/>
      <c r="MK47" s="90"/>
      <c r="ML47" s="90">
        <f t="shared" si="191"/>
        <v>0</v>
      </c>
      <c r="MM47" s="90"/>
      <c r="MN47" s="90">
        <f t="shared" si="192"/>
        <v>0</v>
      </c>
      <c r="MO47" s="90">
        <f t="shared" si="193"/>
        <v>0</v>
      </c>
      <c r="MP47" s="90">
        <f t="shared" si="194"/>
        <v>0</v>
      </c>
      <c r="MQ47" s="90">
        <f t="shared" si="195"/>
        <v>0</v>
      </c>
      <c r="MR47" s="90">
        <f t="shared" si="196"/>
        <v>0</v>
      </c>
      <c r="MS47" s="90">
        <f t="shared" si="197"/>
        <v>0</v>
      </c>
      <c r="MT47" s="95"/>
      <c r="MU47" s="95">
        <f t="shared" si="198"/>
        <v>0</v>
      </c>
      <c r="MV47" s="92">
        <f t="shared" si="199"/>
        <v>0</v>
      </c>
      <c r="MW47" s="95"/>
      <c r="MX47" s="95">
        <f t="shared" si="200"/>
        <v>0</v>
      </c>
      <c r="MY47" s="95"/>
      <c r="MZ47" s="95">
        <f t="shared" si="201"/>
        <v>0</v>
      </c>
      <c r="NA47" s="95"/>
      <c r="NB47" s="95">
        <f t="shared" si="202"/>
        <v>0</v>
      </c>
      <c r="NC47" s="92">
        <f t="shared" si="203"/>
        <v>0</v>
      </c>
      <c r="ND47" s="95"/>
      <c r="NE47" s="95">
        <f t="shared" si="204"/>
        <v>0</v>
      </c>
      <c r="NF47" s="95"/>
      <c r="NG47" s="95">
        <f t="shared" si="205"/>
        <v>0</v>
      </c>
      <c r="NH47" s="95"/>
      <c r="NI47" s="95"/>
      <c r="NJ47" s="95">
        <f t="shared" si="206"/>
        <v>0</v>
      </c>
      <c r="NK47" s="92">
        <f t="shared" si="207"/>
        <v>0</v>
      </c>
      <c r="NL47" s="95"/>
      <c r="NM47" s="95">
        <f t="shared" si="208"/>
        <v>0</v>
      </c>
      <c r="NN47" s="95"/>
      <c r="NO47" s="95">
        <f t="shared" si="209"/>
        <v>0</v>
      </c>
      <c r="NP47" s="95"/>
      <c r="NQ47" s="95">
        <f t="shared" si="210"/>
        <v>0</v>
      </c>
      <c r="NR47" s="92">
        <f t="shared" si="211"/>
        <v>0</v>
      </c>
      <c r="NS47" s="95"/>
      <c r="NT47" s="95">
        <f t="shared" si="212"/>
        <v>0</v>
      </c>
      <c r="NU47" s="95"/>
      <c r="NV47" s="95">
        <f t="shared" si="213"/>
        <v>0</v>
      </c>
      <c r="NW47" s="95">
        <f>0.55+0.25</f>
        <v>0.8</v>
      </c>
      <c r="NX47" s="95">
        <f t="shared" si="214"/>
        <v>574.88</v>
      </c>
      <c r="NY47" s="92">
        <f t="shared" si="215"/>
        <v>6898.5599999999995</v>
      </c>
      <c r="NZ47" s="112">
        <f>0.55+0.25</f>
        <v>0.8</v>
      </c>
      <c r="OA47" s="95">
        <f t="shared" si="216"/>
        <v>574.88</v>
      </c>
      <c r="OB47" s="112">
        <f>0.53+0.25</f>
        <v>0.78</v>
      </c>
      <c r="OC47" s="95">
        <f t="shared" si="217"/>
        <v>560.51</v>
      </c>
      <c r="OD47" s="90">
        <v>2852.84</v>
      </c>
      <c r="OE47" s="90">
        <f t="shared" si="218"/>
        <v>3.97</v>
      </c>
      <c r="OF47" s="92">
        <f t="shared" si="219"/>
        <v>34234.080000000002</v>
      </c>
      <c r="OG47" s="96">
        <v>831.07</v>
      </c>
      <c r="OH47" s="96">
        <v>1.1599999999999999</v>
      </c>
      <c r="OI47" s="90">
        <v>3686.42</v>
      </c>
      <c r="OJ47" s="90">
        <f t="shared" si="220"/>
        <v>5.13</v>
      </c>
      <c r="OK47" s="90">
        <f t="shared" si="221"/>
        <v>3683.9100000000003</v>
      </c>
      <c r="OL47" s="90">
        <f t="shared" si="222"/>
        <v>5.13</v>
      </c>
      <c r="OM47" s="90">
        <f t="shared" si="223"/>
        <v>0</v>
      </c>
      <c r="ON47" s="90">
        <v>2852.84</v>
      </c>
      <c r="OO47" s="90">
        <f t="shared" si="224"/>
        <v>3.97</v>
      </c>
      <c r="OP47" s="90">
        <v>2855.35</v>
      </c>
      <c r="OQ47" s="90">
        <v>3.97</v>
      </c>
      <c r="OR47" s="90">
        <f t="shared" si="225"/>
        <v>0</v>
      </c>
      <c r="OS47" s="90">
        <f t="shared" si="226"/>
        <v>3.9699999999999998</v>
      </c>
      <c r="OT47" s="90">
        <v>2852.84</v>
      </c>
      <c r="OU47" s="90">
        <f t="shared" si="227"/>
        <v>3.97</v>
      </c>
      <c r="OV47" s="97">
        <v>2852.84</v>
      </c>
      <c r="OW47" s="90">
        <f t="shared" si="228"/>
        <v>6948.86</v>
      </c>
      <c r="OX47" s="90">
        <f t="shared" si="229"/>
        <v>9.67</v>
      </c>
      <c r="OY47" s="90">
        <f>OU47-1+1+5+0.7</f>
        <v>9.67</v>
      </c>
      <c r="OZ47" s="90"/>
      <c r="PA47" s="90"/>
      <c r="PB47" s="95">
        <f t="shared" si="230"/>
        <v>0</v>
      </c>
      <c r="PC47" s="92">
        <f t="shared" si="231"/>
        <v>0</v>
      </c>
      <c r="PD47" s="90"/>
      <c r="PE47" s="95">
        <f t="shared" si="232"/>
        <v>0</v>
      </c>
      <c r="PF47" s="90">
        <f t="shared" si="233"/>
        <v>11009.190000000002</v>
      </c>
      <c r="PG47" s="90">
        <f t="shared" si="234"/>
        <v>15.32</v>
      </c>
      <c r="PH47" s="90">
        <f t="shared" si="235"/>
        <v>17032.569999999996</v>
      </c>
      <c r="PI47" s="90">
        <f t="shared" si="236"/>
        <v>23.7</v>
      </c>
      <c r="PJ47" s="90">
        <f t="shared" si="237"/>
        <v>17032.569999999996</v>
      </c>
      <c r="PK47" s="90">
        <f t="shared" si="238"/>
        <v>23.7</v>
      </c>
      <c r="PL47" s="90"/>
      <c r="PM47" s="90">
        <f t="shared" si="239"/>
        <v>330.28</v>
      </c>
      <c r="PN47" s="90">
        <f t="shared" si="240"/>
        <v>0.46</v>
      </c>
      <c r="PO47" s="92">
        <f t="shared" si="241"/>
        <v>3963.3599999999997</v>
      </c>
      <c r="PP47" s="90">
        <f t="shared" si="242"/>
        <v>510.98</v>
      </c>
      <c r="PQ47" s="90">
        <f t="shared" si="243"/>
        <v>0.71</v>
      </c>
      <c r="PR47" s="90">
        <f t="shared" si="244"/>
        <v>510.98</v>
      </c>
      <c r="PS47" s="90">
        <f t="shared" si="245"/>
        <v>0.71</v>
      </c>
      <c r="PT47" s="90">
        <f t="shared" si="246"/>
        <v>11339.470000000003</v>
      </c>
      <c r="PU47" s="90">
        <f t="shared" si="247"/>
        <v>15.78</v>
      </c>
      <c r="PV47" s="90">
        <f t="shared" si="248"/>
        <v>17543.549999999996</v>
      </c>
      <c r="PW47" s="90">
        <f t="shared" si="249"/>
        <v>24.41</v>
      </c>
      <c r="PX47" s="90">
        <f t="shared" si="250"/>
        <v>17543.549999999996</v>
      </c>
      <c r="PY47" s="90">
        <f t="shared" si="251"/>
        <v>24.41</v>
      </c>
      <c r="PZ47" s="90">
        <f t="shared" si="252"/>
        <v>114.54</v>
      </c>
      <c r="QA47" s="90">
        <f t="shared" si="253"/>
        <v>0.16</v>
      </c>
      <c r="QB47" s="92">
        <f t="shared" si="254"/>
        <v>1374.48</v>
      </c>
      <c r="QC47" s="90">
        <f t="shared" si="255"/>
        <v>177.21</v>
      </c>
      <c r="QD47" s="90">
        <f t="shared" si="256"/>
        <v>0.25</v>
      </c>
      <c r="QE47" s="90">
        <f t="shared" si="257"/>
        <v>177.21</v>
      </c>
      <c r="QF47" s="90">
        <f t="shared" si="258"/>
        <v>0.25</v>
      </c>
      <c r="QG47" s="90">
        <f t="shared" si="259"/>
        <v>11454.010000000004</v>
      </c>
      <c r="QH47" s="90">
        <f t="shared" si="260"/>
        <v>15.94</v>
      </c>
      <c r="QI47" s="92">
        <f t="shared" si="261"/>
        <v>137448.12000000005</v>
      </c>
      <c r="QJ47" s="90">
        <f t="shared" si="262"/>
        <v>230.3987532019257</v>
      </c>
      <c r="QK47" s="98">
        <f t="shared" si="263"/>
        <v>0.30915000000000004</v>
      </c>
      <c r="QL47" s="90">
        <f t="shared" si="264"/>
        <v>222.15519000000003</v>
      </c>
      <c r="QM47" s="90">
        <f t="shared" si="265"/>
        <v>0.15110000000000001</v>
      </c>
      <c r="QN47" s="90">
        <f t="shared" si="266"/>
        <v>108.58046000000002</v>
      </c>
      <c r="QO47" s="90">
        <v>0.27615000000000001</v>
      </c>
      <c r="QP47" s="90">
        <v>0.18410000000000001</v>
      </c>
      <c r="QQ47" s="97">
        <f t="shared" si="267"/>
        <v>330.73565000000008</v>
      </c>
      <c r="QR47" s="97">
        <v>330.73565000000002</v>
      </c>
      <c r="QS47" s="97">
        <f t="shared" si="268"/>
        <v>0</v>
      </c>
      <c r="QT47" s="90"/>
      <c r="QU47" s="90">
        <f t="shared" si="269"/>
        <v>0.15110000000000001</v>
      </c>
      <c r="QV47" s="90">
        <f t="shared" si="270"/>
        <v>108.58046000000002</v>
      </c>
      <c r="QW47" s="90">
        <f t="shared" si="271"/>
        <v>330.73565000000008</v>
      </c>
      <c r="QX47" s="90">
        <f t="shared" si="272"/>
        <v>0.4602500000000001</v>
      </c>
      <c r="QY47" s="90"/>
      <c r="QZ47" s="90"/>
      <c r="RA47" s="90"/>
      <c r="RB47" s="90">
        <v>3147.71</v>
      </c>
      <c r="RC47" s="97">
        <f t="shared" si="273"/>
        <v>11454.010000000004</v>
      </c>
      <c r="RD47" s="97">
        <f t="shared" si="274"/>
        <v>15.94</v>
      </c>
      <c r="RE47" s="90">
        <f t="shared" si="275"/>
        <v>17720.759999999995</v>
      </c>
      <c r="RF47" s="90">
        <f t="shared" si="276"/>
        <v>24.66</v>
      </c>
      <c r="RG47" s="90">
        <f t="shared" si="277"/>
        <v>154.70514429109159</v>
      </c>
      <c r="RH47" s="90">
        <f t="shared" si="278"/>
        <v>17720.759999999995</v>
      </c>
      <c r="RI47" s="90">
        <f t="shared" si="279"/>
        <v>24.66</v>
      </c>
      <c r="RJ47" s="90">
        <v>18.41</v>
      </c>
      <c r="RK47" s="90">
        <v>0</v>
      </c>
      <c r="RL47" s="90">
        <f t="shared" si="280"/>
        <v>6.25</v>
      </c>
      <c r="RM47" s="90">
        <f t="shared" si="281"/>
        <v>138.75140607424072</v>
      </c>
      <c r="RN47" s="90">
        <f t="shared" si="282"/>
        <v>8361.11</v>
      </c>
      <c r="RO47" s="90"/>
      <c r="RP47" s="90"/>
      <c r="RQ47" s="99">
        <v>3347</v>
      </c>
      <c r="RR47" s="90">
        <f t="shared" si="283"/>
        <v>8601.17</v>
      </c>
      <c r="RS47" s="90">
        <f t="shared" si="284"/>
        <v>11.96934316726969</v>
      </c>
      <c r="RT47" s="20">
        <v>14.56</v>
      </c>
      <c r="RU47" s="90">
        <f t="shared" si="285"/>
        <v>10462.816000000001</v>
      </c>
      <c r="RV47" s="90">
        <f t="shared" si="286"/>
        <v>0.32062169941821</v>
      </c>
      <c r="RW47" s="20">
        <v>13.49</v>
      </c>
      <c r="RX47" s="90">
        <f t="shared" si="287"/>
        <v>14.1645</v>
      </c>
      <c r="RY47" s="90">
        <f t="shared" si="288"/>
        <v>10178.609700000001</v>
      </c>
      <c r="RZ47" s="90">
        <f t="shared" si="289"/>
        <v>3147.7769871419541</v>
      </c>
      <c r="SA47" s="90">
        <f t="shared" si="290"/>
        <v>937.66693162906631</v>
      </c>
      <c r="SB47" s="90">
        <f t="shared" si="291"/>
        <v>937.66693162906631</v>
      </c>
      <c r="SC47" s="90">
        <f t="shared" si="292"/>
        <v>3147.7769871419541</v>
      </c>
      <c r="SD47" s="90">
        <f t="shared" si="293"/>
        <v>3147.7769871419541</v>
      </c>
      <c r="SE47" s="90">
        <f t="shared" si="294"/>
        <v>3147.773131469221</v>
      </c>
      <c r="SF47" s="90">
        <f t="shared" si="295"/>
        <v>3137.221031765157</v>
      </c>
      <c r="SG47" s="90">
        <f t="shared" si="296"/>
        <v>10.555955376797101</v>
      </c>
      <c r="SH47" s="90">
        <f t="shared" si="297"/>
        <v>3147.7769871419541</v>
      </c>
      <c r="SI47" s="90">
        <f t="shared" si="298"/>
        <v>4.3804299848900001</v>
      </c>
      <c r="SJ47" s="100">
        <f t="shared" si="299"/>
        <v>4.365740372620591</v>
      </c>
      <c r="SK47" s="100"/>
      <c r="SL47" s="100"/>
      <c r="SM47" s="90"/>
      <c r="SN47" s="90">
        <f t="shared" si="300"/>
        <v>3187.42</v>
      </c>
      <c r="SO47" s="90" t="e">
        <f>RU47-#REF!-#REF!-HZ47-LT47-LZ47-MF47-ML47-QL47-QN47-SD47</f>
        <v>#REF!</v>
      </c>
      <c r="SP47" s="90">
        <f t="shared" si="301"/>
        <v>3147.71</v>
      </c>
      <c r="SQ47" s="90">
        <f t="shared" si="302"/>
        <v>3319.93</v>
      </c>
      <c r="SR47" s="90">
        <f t="shared" si="303"/>
        <v>4.3803367659337598</v>
      </c>
      <c r="SS47" s="90">
        <f t="shared" si="304"/>
        <v>4.6199972168104644</v>
      </c>
      <c r="ST47" s="90">
        <f t="shared" si="305"/>
        <v>3324.0819999999999</v>
      </c>
      <c r="SU47" s="90">
        <v>4.3803367659337598</v>
      </c>
      <c r="SV47" s="90">
        <f t="shared" si="306"/>
        <v>4.63</v>
      </c>
      <c r="SW47" s="90">
        <v>4.62</v>
      </c>
      <c r="SX47" s="90">
        <f t="shared" si="307"/>
        <v>3319.93</v>
      </c>
      <c r="SY47" s="90">
        <v>4.3804202616198165</v>
      </c>
      <c r="SZ47" s="90">
        <f t="shared" si="308"/>
        <v>3147.77</v>
      </c>
      <c r="TA47" s="90">
        <f t="shared" si="309"/>
        <v>5.999999999994543E-2</v>
      </c>
      <c r="TB47" s="90">
        <v>0</v>
      </c>
      <c r="TC47" s="90">
        <f t="shared" si="310"/>
        <v>3142.5323500000004</v>
      </c>
      <c r="TD47" s="90" t="e">
        <f>#REF!+#REF!</f>
        <v>#REF!</v>
      </c>
      <c r="TE47" s="90" t="e">
        <f t="shared" si="311"/>
        <v>#REF!</v>
      </c>
      <c r="TF47" s="90">
        <v>3175.6323500000008</v>
      </c>
      <c r="TG47" s="90">
        <f t="shared" si="312"/>
        <v>30.035244335750534</v>
      </c>
      <c r="TH47" s="95"/>
      <c r="TI47" s="95"/>
      <c r="TJ47" s="95"/>
      <c r="TK47" s="95"/>
      <c r="TL47" s="95">
        <v>0.55000000000000004</v>
      </c>
      <c r="TM47" s="95">
        <f t="shared" si="313"/>
        <v>395.23</v>
      </c>
      <c r="TN47" s="95">
        <f t="shared" si="314"/>
        <v>10858.046</v>
      </c>
      <c r="TO47" s="95">
        <f t="shared" si="315"/>
        <v>28.941969393019708</v>
      </c>
      <c r="TP47" s="95"/>
      <c r="TQ47" s="95">
        <f t="shared" si="316"/>
        <v>15.110000000000001</v>
      </c>
      <c r="TR47" s="95"/>
      <c r="TS47" s="95"/>
      <c r="TT47" s="95"/>
      <c r="TU47" s="95"/>
      <c r="TV47" s="95"/>
      <c r="TW47" s="95"/>
      <c r="TX47" s="95"/>
      <c r="TY47" s="95"/>
      <c r="TZ47" s="95">
        <f t="shared" si="317"/>
        <v>3.0459960291197885</v>
      </c>
      <c r="UA47" s="95">
        <f t="shared" si="318"/>
        <v>0.6648400000000001</v>
      </c>
      <c r="UB47" s="90">
        <v>0</v>
      </c>
      <c r="UC47" s="90">
        <f t="shared" si="319"/>
        <v>0</v>
      </c>
      <c r="UD47" s="90">
        <f t="shared" si="320"/>
        <v>0</v>
      </c>
      <c r="UE47" s="90">
        <f t="shared" si="321"/>
        <v>0</v>
      </c>
      <c r="UF47" s="90">
        <f t="shared" si="322"/>
        <v>10462.816000000001</v>
      </c>
      <c r="UG47" s="91">
        <f t="shared" si="323"/>
        <v>0</v>
      </c>
      <c r="UH47" s="95">
        <f t="shared" si="324"/>
        <v>30.035244335750534</v>
      </c>
      <c r="UI47" s="95">
        <f t="shared" si="325"/>
        <v>10858.046</v>
      </c>
      <c r="UJ47" s="101">
        <f t="shared" si="326"/>
        <v>0</v>
      </c>
      <c r="UK47" s="101">
        <f t="shared" si="327"/>
        <v>28.941969393019708</v>
      </c>
      <c r="UL47" s="90" t="e">
        <f>(#REF!+#REF!+HZ47+LT47+LZ47+MF47+ML47+QL47+QN47+SN47+TC47+TM47+UC47)/I47</f>
        <v>#REF!</v>
      </c>
      <c r="UN47" s="90" t="e">
        <f>#REF!/I47</f>
        <v>#REF!</v>
      </c>
      <c r="UO47" s="90" t="e">
        <f>#REF!/I47</f>
        <v>#REF!</v>
      </c>
      <c r="UP47" s="90">
        <v>1.1499999999999999</v>
      </c>
      <c r="UQ47" s="90" t="e">
        <f t="shared" si="328"/>
        <v>#REF!</v>
      </c>
      <c r="UR47" s="90">
        <f t="shared" si="329"/>
        <v>8601.17</v>
      </c>
      <c r="US47" s="90">
        <f t="shared" si="330"/>
        <v>10185.979999999998</v>
      </c>
      <c r="UT47" s="90">
        <f t="shared" si="331"/>
        <v>10185.979999999998</v>
      </c>
      <c r="UU47" s="90">
        <f t="shared" si="516"/>
        <v>10516.539999999997</v>
      </c>
      <c r="UV47" s="90">
        <f t="shared" si="333"/>
        <v>10441.339999999997</v>
      </c>
      <c r="UW47" s="90">
        <f t="shared" si="334"/>
        <v>7.26</v>
      </c>
      <c r="UX47" s="90">
        <f t="shared" si="335"/>
        <v>4.62</v>
      </c>
      <c r="UY47" s="90">
        <f t="shared" si="336"/>
        <v>4.4355969941553015</v>
      </c>
      <c r="UZ47" s="100">
        <f t="shared" si="337"/>
        <v>4.3804299848900001</v>
      </c>
      <c r="VA47" s="90">
        <f t="shared" si="338"/>
        <v>0.68</v>
      </c>
      <c r="VB47" s="90">
        <f t="shared" si="339"/>
        <v>1.1599999999999999</v>
      </c>
      <c r="VC47" s="90">
        <f t="shared" si="340"/>
        <v>0.8</v>
      </c>
      <c r="VD47" s="90">
        <f t="shared" si="341"/>
        <v>0</v>
      </c>
      <c r="VE47" s="90">
        <f t="shared" si="342"/>
        <v>0</v>
      </c>
      <c r="VF47" s="90">
        <f t="shared" si="343"/>
        <v>0</v>
      </c>
      <c r="VG47" s="90">
        <f t="shared" si="344"/>
        <v>0</v>
      </c>
      <c r="VH47" s="90">
        <f t="shared" si="345"/>
        <v>0</v>
      </c>
      <c r="VI47" s="90">
        <f t="shared" si="346"/>
        <v>0</v>
      </c>
      <c r="VJ47" s="90">
        <f t="shared" si="347"/>
        <v>0</v>
      </c>
      <c r="VK47" s="90">
        <f t="shared" si="348"/>
        <v>0.91</v>
      </c>
      <c r="VL47" s="90">
        <f t="shared" si="349"/>
        <v>4.09</v>
      </c>
      <c r="VM47" s="90">
        <f t="shared" si="350"/>
        <v>3.97</v>
      </c>
      <c r="VN47" s="90">
        <f t="shared" si="351"/>
        <v>0</v>
      </c>
      <c r="VO47" s="90">
        <f t="shared" si="352"/>
        <v>3.97</v>
      </c>
      <c r="VP47" s="97">
        <v>0</v>
      </c>
      <c r="VQ47" s="97">
        <v>4.22</v>
      </c>
      <c r="VR47" s="90">
        <f t="shared" si="353"/>
        <v>0.46</v>
      </c>
      <c r="VS47" s="90">
        <f t="shared" si="354"/>
        <v>0.16</v>
      </c>
      <c r="VT47" s="90">
        <v>0.11989898989898991</v>
      </c>
      <c r="VU47" s="90">
        <f t="shared" si="355"/>
        <v>0.15939999999999999</v>
      </c>
      <c r="VV47" s="90">
        <v>0.38175323599898991</v>
      </c>
      <c r="VW47" s="90">
        <f t="shared" si="356"/>
        <v>0.62</v>
      </c>
      <c r="VX47" s="90">
        <f t="shared" si="357"/>
        <v>15.94</v>
      </c>
      <c r="VY47" s="90">
        <f t="shared" si="358"/>
        <v>15.94</v>
      </c>
      <c r="VZ47" s="90">
        <f t="shared" si="359"/>
        <v>0</v>
      </c>
      <c r="WA47" s="90"/>
      <c r="WB47" s="90">
        <f t="shared" si="360"/>
        <v>15.94</v>
      </c>
      <c r="WC47" s="90">
        <f t="shared" si="361"/>
        <v>0</v>
      </c>
      <c r="WD47" s="90"/>
      <c r="WE47" s="90">
        <v>15.94</v>
      </c>
      <c r="WF47" s="90"/>
      <c r="WG47" s="90">
        <f t="shared" si="362"/>
        <v>11454.484</v>
      </c>
      <c r="WH47" s="90">
        <f t="shared" si="363"/>
        <v>10879.604000000001</v>
      </c>
      <c r="WI47" s="90">
        <f t="shared" si="364"/>
        <v>10879.130000000005</v>
      </c>
      <c r="WJ47" s="90">
        <f t="shared" si="365"/>
        <v>8601.17</v>
      </c>
      <c r="WK47" s="97">
        <v>3032.49</v>
      </c>
      <c r="WL47" s="97">
        <v>4.22</v>
      </c>
      <c r="WM47" s="90">
        <f t="shared" si="366"/>
        <v>3032.49</v>
      </c>
      <c r="WN47" s="90">
        <f t="shared" si="367"/>
        <v>4.22</v>
      </c>
      <c r="WO47" s="90"/>
      <c r="WP47" s="97">
        <v>15.94</v>
      </c>
      <c r="WQ47" s="90">
        <f t="shared" si="368"/>
        <v>15.94</v>
      </c>
      <c r="WR47" s="91">
        <f t="shared" si="369"/>
        <v>105.49305095962937</v>
      </c>
      <c r="WS47" s="91">
        <f t="shared" si="370"/>
        <v>105.49305095962937</v>
      </c>
      <c r="WT47" s="90">
        <f t="shared" si="371"/>
        <v>11454.48</v>
      </c>
      <c r="WU47" s="90">
        <f t="shared" si="372"/>
        <v>11454.010000000004</v>
      </c>
      <c r="WV47" s="90">
        <f t="shared" si="373"/>
        <v>0.46999999999570719</v>
      </c>
      <c r="WW47" s="90"/>
      <c r="WX47" s="90"/>
      <c r="WY47" s="90"/>
      <c r="WZ47" s="90">
        <f t="shared" si="374"/>
        <v>3.9507898989898989</v>
      </c>
      <c r="XA47" s="90">
        <v>0</v>
      </c>
      <c r="XB47" s="90">
        <f t="shared" si="375"/>
        <v>3.9507898989898989</v>
      </c>
      <c r="XC47" s="90">
        <f t="shared" si="376"/>
        <v>0.47819999999999996</v>
      </c>
      <c r="XD47" s="90">
        <f t="shared" si="377"/>
        <v>0.16101010101010099</v>
      </c>
      <c r="XE47" s="90"/>
      <c r="XF47" s="90">
        <f t="shared" si="378"/>
        <v>15.94</v>
      </c>
      <c r="XG47" s="90">
        <v>4.4191933620929591</v>
      </c>
      <c r="XH47" s="20">
        <v>14.56</v>
      </c>
      <c r="XI47" s="20">
        <v>0</v>
      </c>
      <c r="XJ47" s="20"/>
      <c r="XK47" s="20"/>
      <c r="XL47" s="20">
        <v>0.55000000000000004</v>
      </c>
      <c r="XM47" s="20">
        <f t="shared" si="379"/>
        <v>15.110000000000001</v>
      </c>
      <c r="XN47" s="91">
        <f t="shared" si="380"/>
        <v>105.49305095962937</v>
      </c>
      <c r="XO47" s="20">
        <f t="shared" si="381"/>
        <v>15.110000000000001</v>
      </c>
      <c r="XP47" s="90">
        <f t="shared" si="382"/>
        <v>15.110000000000001</v>
      </c>
      <c r="XQ47" s="91">
        <f t="shared" si="383"/>
        <v>105.49305095962937</v>
      </c>
      <c r="XR47" s="102"/>
      <c r="XS47" s="90">
        <f t="shared" si="384"/>
        <v>4.09</v>
      </c>
      <c r="XT47" s="90">
        <f t="shared" si="385"/>
        <v>7.26</v>
      </c>
      <c r="XU47" s="90">
        <f t="shared" si="386"/>
        <v>4.62</v>
      </c>
      <c r="XV47" s="90">
        <f t="shared" si="387"/>
        <v>1.48</v>
      </c>
      <c r="XW47" s="90">
        <f t="shared" si="388"/>
        <v>0.68</v>
      </c>
      <c r="XX47" s="90">
        <f t="shared" si="389"/>
        <v>0.8</v>
      </c>
      <c r="XY47" s="90">
        <f t="shared" si="390"/>
        <v>1.1599999999999999</v>
      </c>
      <c r="XZ47" s="90">
        <f t="shared" si="391"/>
        <v>0</v>
      </c>
      <c r="YA47" s="90">
        <f t="shared" si="392"/>
        <v>0</v>
      </c>
      <c r="YB47" s="90">
        <f t="shared" si="552"/>
        <v>0</v>
      </c>
      <c r="YC47" s="90">
        <f t="shared" si="552"/>
        <v>0</v>
      </c>
      <c r="YD47" s="90">
        <f t="shared" si="394"/>
        <v>1.1599999999999999</v>
      </c>
      <c r="YE47" s="90">
        <f t="shared" si="395"/>
        <v>3.97</v>
      </c>
      <c r="YF47" s="90">
        <f t="shared" si="396"/>
        <v>0.62</v>
      </c>
      <c r="YG47" s="90">
        <f t="shared" si="397"/>
        <v>15.94</v>
      </c>
      <c r="YI47" s="103" t="s">
        <v>442</v>
      </c>
      <c r="YK47" s="90">
        <f t="shared" si="398"/>
        <v>1.07</v>
      </c>
      <c r="YL47" s="90">
        <f t="shared" si="553"/>
        <v>0.68</v>
      </c>
      <c r="YM47" s="90">
        <f t="shared" si="553"/>
        <v>1.1599999999999999</v>
      </c>
      <c r="YN47" s="90">
        <f t="shared" si="400"/>
        <v>4.09</v>
      </c>
      <c r="YO47" s="90">
        <f t="shared" si="401"/>
        <v>8.94</v>
      </c>
      <c r="YP47" s="90">
        <f t="shared" si="402"/>
        <v>0</v>
      </c>
      <c r="YQ47" s="90">
        <f t="shared" si="403"/>
        <v>15.94</v>
      </c>
      <c r="YR47" s="90">
        <f t="shared" si="404"/>
        <v>0</v>
      </c>
      <c r="YS47" s="104">
        <f t="shared" si="405"/>
        <v>15.94</v>
      </c>
      <c r="YT47" s="104">
        <f t="shared" si="406"/>
        <v>0</v>
      </c>
      <c r="YY47" s="90">
        <f t="shared" si="407"/>
        <v>8.6100000000000012</v>
      </c>
      <c r="YZ47" s="90">
        <f t="shared" si="408"/>
        <v>4.9800000000000004</v>
      </c>
      <c r="ZA47" s="90">
        <f t="shared" si="409"/>
        <v>0.72</v>
      </c>
      <c r="ZB47" s="90">
        <f t="shared" si="410"/>
        <v>2.11</v>
      </c>
      <c r="ZC47" s="90">
        <f t="shared" si="411"/>
        <v>0.8</v>
      </c>
      <c r="ZD47" s="90">
        <f t="shared" si="412"/>
        <v>0</v>
      </c>
      <c r="ZE47" s="90">
        <f t="shared" si="413"/>
        <v>0</v>
      </c>
      <c r="ZF47" s="90">
        <f t="shared" si="414"/>
        <v>0</v>
      </c>
      <c r="ZG47" s="90">
        <f t="shared" si="415"/>
        <v>0</v>
      </c>
      <c r="ZH47" s="90">
        <f t="shared" si="416"/>
        <v>0</v>
      </c>
      <c r="ZI47" s="90">
        <f t="shared" si="417"/>
        <v>0</v>
      </c>
      <c r="ZJ47" s="90">
        <f t="shared" si="418"/>
        <v>0</v>
      </c>
      <c r="ZK47" s="90">
        <f t="shared" si="419"/>
        <v>0</v>
      </c>
      <c r="ZL47" s="90">
        <f t="shared" si="420"/>
        <v>0</v>
      </c>
      <c r="ZM47" s="90">
        <f t="shared" si="421"/>
        <v>4.6100000000000003</v>
      </c>
      <c r="ZN47" s="90">
        <f t="shared" si="422"/>
        <v>11.78</v>
      </c>
      <c r="ZO47" s="90">
        <f t="shared" si="423"/>
        <v>5.13</v>
      </c>
      <c r="ZP47" s="90">
        <f t="shared" si="424"/>
        <v>9.67</v>
      </c>
      <c r="ZQ47" s="90">
        <f t="shared" si="425"/>
        <v>0</v>
      </c>
      <c r="ZR47" s="90">
        <f t="shared" si="426"/>
        <v>9.67</v>
      </c>
      <c r="ZS47" s="97">
        <v>227</v>
      </c>
      <c r="ZT47" s="97">
        <v>230.38</v>
      </c>
      <c r="ZU47" s="90">
        <f t="shared" si="427"/>
        <v>0.71</v>
      </c>
      <c r="ZV47" s="90">
        <f t="shared" si="428"/>
        <v>0.25</v>
      </c>
      <c r="ZW47" s="90">
        <v>0.11989898989898991</v>
      </c>
      <c r="ZX47" s="90">
        <f t="shared" si="429"/>
        <v>0.23850000000000002</v>
      </c>
      <c r="ZY47" s="90">
        <v>0.38175323599898991</v>
      </c>
      <c r="ZZ47" s="90">
        <f t="shared" si="430"/>
        <v>0.96</v>
      </c>
      <c r="AAA47" s="90">
        <f t="shared" si="431"/>
        <v>23.85</v>
      </c>
      <c r="AAB47" s="90">
        <f t="shared" si="432"/>
        <v>23.85</v>
      </c>
      <c r="AAC47" s="90">
        <f t="shared" si="433"/>
        <v>0</v>
      </c>
      <c r="AAD47" s="90"/>
      <c r="AAE47" s="90">
        <f t="shared" si="434"/>
        <v>23.85</v>
      </c>
      <c r="AAF47" s="90">
        <v>15.94</v>
      </c>
      <c r="AAG47" s="90">
        <f t="shared" si="435"/>
        <v>149.6235884567127</v>
      </c>
      <c r="AAH47" s="90">
        <f t="shared" si="436"/>
        <v>0</v>
      </c>
      <c r="AAI47" s="90">
        <v>0</v>
      </c>
      <c r="AAJ47" s="90"/>
      <c r="AAK47" s="1">
        <v>17.78</v>
      </c>
      <c r="AAL47" s="104">
        <f t="shared" si="437"/>
        <v>6.07</v>
      </c>
      <c r="AAM47" s="103" t="s">
        <v>483</v>
      </c>
      <c r="AAN47" s="105">
        <v>8.73</v>
      </c>
      <c r="AAO47" s="90">
        <f t="shared" si="438"/>
        <v>9.4300000000000015</v>
      </c>
      <c r="AAP47" s="90">
        <v>4.97</v>
      </c>
      <c r="AAQ47" s="90">
        <f t="shared" si="439"/>
        <v>4.9800000000000004</v>
      </c>
      <c r="AAR47" s="90">
        <v>0.72</v>
      </c>
      <c r="AAS47" s="90">
        <f t="shared" si="440"/>
        <v>1.08</v>
      </c>
      <c r="AAT47" s="90">
        <f t="shared" si="441"/>
        <v>150.00000000000003</v>
      </c>
      <c r="AAU47" s="90">
        <v>2.2400000000000002</v>
      </c>
      <c r="AAV47" s="90">
        <f t="shared" si="442"/>
        <v>2.11</v>
      </c>
      <c r="AAW47" s="90">
        <f t="shared" si="443"/>
        <v>94.196428571428555</v>
      </c>
      <c r="AAX47" s="90">
        <f t="shared" si="444"/>
        <v>0.46</v>
      </c>
      <c r="AAY47" s="90">
        <f t="shared" si="445"/>
        <v>0.8</v>
      </c>
      <c r="AAZ47" s="90">
        <f t="shared" si="446"/>
        <v>0</v>
      </c>
      <c r="ABA47" s="90">
        <f t="shared" si="447"/>
        <v>0</v>
      </c>
      <c r="ABB47" s="90">
        <f t="shared" si="448"/>
        <v>0</v>
      </c>
      <c r="ABC47" s="90">
        <v>0</v>
      </c>
      <c r="ABD47" s="90">
        <f t="shared" si="449"/>
        <v>0</v>
      </c>
      <c r="ABE47" s="90"/>
      <c r="ABF47" s="90">
        <v>0</v>
      </c>
      <c r="ABG47" s="90">
        <f t="shared" si="450"/>
        <v>0</v>
      </c>
      <c r="ABH47" s="90"/>
      <c r="ABI47" s="90">
        <f t="shared" si="451"/>
        <v>0</v>
      </c>
      <c r="ABJ47" s="90">
        <f t="shared" si="452"/>
        <v>0</v>
      </c>
      <c r="ABK47" s="90">
        <v>0</v>
      </c>
      <c r="ABL47" s="90">
        <f t="shared" si="453"/>
        <v>0</v>
      </c>
      <c r="ABM47" s="90">
        <f t="shared" si="454"/>
        <v>0</v>
      </c>
      <c r="ABN47" s="90">
        <f t="shared" si="455"/>
        <v>0</v>
      </c>
      <c r="ABO47" s="90">
        <v>4.3899999999999997</v>
      </c>
      <c r="ABP47" s="90">
        <f t="shared" si="456"/>
        <v>4.6100000000000003</v>
      </c>
      <c r="ABQ47" s="90">
        <f t="shared" si="457"/>
        <v>105.01138952164011</v>
      </c>
      <c r="ABR47" s="90">
        <f t="shared" si="458"/>
        <v>11.78</v>
      </c>
      <c r="ABS47" s="90">
        <f t="shared" si="459"/>
        <v>5.13</v>
      </c>
      <c r="ABT47" s="90">
        <v>3.97</v>
      </c>
      <c r="ABU47" s="90">
        <f t="shared" si="460"/>
        <v>9.67</v>
      </c>
      <c r="ABV47" s="90">
        <f t="shared" si="461"/>
        <v>243.57682619647352</v>
      </c>
      <c r="ABW47" s="90">
        <f t="shared" si="462"/>
        <v>0</v>
      </c>
      <c r="ABX47" s="90">
        <f t="shared" si="463"/>
        <v>9.67</v>
      </c>
      <c r="ABY47" s="97">
        <v>227</v>
      </c>
      <c r="ABZ47" s="97">
        <v>230.38</v>
      </c>
      <c r="ACA47" s="90">
        <f t="shared" si="464"/>
        <v>0.71</v>
      </c>
      <c r="ACB47" s="90">
        <f t="shared" si="465"/>
        <v>0.25</v>
      </c>
      <c r="ACC47" s="90">
        <v>0.11989898989898991</v>
      </c>
      <c r="ACD47" s="90">
        <f t="shared" si="466"/>
        <v>0.24210000000000001</v>
      </c>
      <c r="ACE47" s="90">
        <v>0.38175323599898991</v>
      </c>
      <c r="ACF47" s="90">
        <v>0.69</v>
      </c>
      <c r="ACG47" s="90">
        <f t="shared" si="467"/>
        <v>0.96</v>
      </c>
      <c r="ACH47" s="90">
        <f t="shared" si="468"/>
        <v>139.13043478260869</v>
      </c>
      <c r="ACI47" s="90">
        <f t="shared" si="469"/>
        <v>24.67</v>
      </c>
      <c r="ACJ47" s="90">
        <f t="shared" si="470"/>
        <v>24.21</v>
      </c>
      <c r="ACK47" s="90">
        <f t="shared" si="471"/>
        <v>-0.46000000000000085</v>
      </c>
      <c r="ACL47" s="90"/>
      <c r="ACM47" s="90">
        <f t="shared" si="472"/>
        <v>24.67</v>
      </c>
      <c r="ACN47" s="90">
        <f t="shared" si="473"/>
        <v>0</v>
      </c>
      <c r="ACO47" s="90">
        <f t="shared" si="474"/>
        <v>24.67</v>
      </c>
      <c r="ACP47" s="90">
        <v>17.78</v>
      </c>
      <c r="ACQ47" s="90">
        <f t="shared" si="475"/>
        <v>138.75140607424072</v>
      </c>
      <c r="ACR47" s="90">
        <f t="shared" si="476"/>
        <v>0</v>
      </c>
      <c r="ACS47" s="90">
        <v>0</v>
      </c>
      <c r="ACT47" s="90"/>
      <c r="ACU47" s="90">
        <f t="shared" si="477"/>
        <v>18.686779999999999</v>
      </c>
      <c r="ACV47" s="90">
        <f t="shared" si="478"/>
        <v>-5.9832200000000029</v>
      </c>
      <c r="ACX47" s="106" t="s">
        <v>540</v>
      </c>
      <c r="ACY47" s="107">
        <f>60000+12500</f>
        <v>72500</v>
      </c>
      <c r="ACZ47" s="107">
        <v>60000</v>
      </c>
      <c r="ADB47" s="90">
        <f t="shared" si="479"/>
        <v>4.6100000000000003</v>
      </c>
      <c r="ADC47" s="90">
        <f t="shared" si="480"/>
        <v>9.43</v>
      </c>
      <c r="ADD47" s="90">
        <f t="shared" si="481"/>
        <v>4.9800000000000004</v>
      </c>
      <c r="ADE47" s="90">
        <f t="shared" si="517"/>
        <v>2.34</v>
      </c>
      <c r="ADF47" s="90">
        <f t="shared" si="483"/>
        <v>1.08</v>
      </c>
      <c r="ADG47" s="90">
        <f t="shared" si="554"/>
        <v>0.46</v>
      </c>
      <c r="ADH47" s="90">
        <f t="shared" si="554"/>
        <v>0.8</v>
      </c>
      <c r="ADI47" s="90">
        <f t="shared" si="554"/>
        <v>0</v>
      </c>
      <c r="ADJ47" s="90">
        <f t="shared" si="485"/>
        <v>2.11</v>
      </c>
      <c r="ADK47" s="90">
        <f t="shared" si="486"/>
        <v>0</v>
      </c>
      <c r="ADL47" s="90">
        <f t="shared" si="487"/>
        <v>0</v>
      </c>
      <c r="ADM47" s="90">
        <f t="shared" si="555"/>
        <v>0</v>
      </c>
      <c r="ADN47" s="90">
        <f t="shared" si="555"/>
        <v>0</v>
      </c>
      <c r="ADO47" s="90">
        <f t="shared" si="489"/>
        <v>2.11</v>
      </c>
      <c r="ADP47" s="90">
        <f t="shared" si="490"/>
        <v>9.67</v>
      </c>
      <c r="ADQ47" s="90">
        <f t="shared" si="491"/>
        <v>0.96</v>
      </c>
      <c r="ADR47" s="90">
        <f t="shared" si="492"/>
        <v>24.67</v>
      </c>
      <c r="ADU47" s="90">
        <f t="shared" si="493"/>
        <v>1.1499999999999999</v>
      </c>
      <c r="ADV47" s="90">
        <f t="shared" si="494"/>
        <v>1.08</v>
      </c>
      <c r="ADW47" s="90">
        <f t="shared" si="495"/>
        <v>2.11</v>
      </c>
      <c r="ADX47" s="90">
        <f t="shared" si="496"/>
        <v>4.6100000000000003</v>
      </c>
      <c r="ADY47" s="90">
        <f t="shared" si="497"/>
        <v>15.260000000000002</v>
      </c>
      <c r="ADZ47" s="90">
        <f t="shared" si="498"/>
        <v>0</v>
      </c>
      <c r="AEA47" s="90">
        <f t="shared" si="499"/>
        <v>24.67</v>
      </c>
      <c r="AEB47" s="90">
        <f t="shared" si="500"/>
        <v>0</v>
      </c>
      <c r="AEC47" s="104">
        <f t="shared" si="501"/>
        <v>24.21</v>
      </c>
      <c r="AED47" s="104">
        <f t="shared" si="502"/>
        <v>0.46000000000000085</v>
      </c>
      <c r="AEG47" s="1">
        <v>8.73</v>
      </c>
      <c r="AEH47" s="1">
        <v>4.97</v>
      </c>
      <c r="AEI47" s="1">
        <v>0.72</v>
      </c>
      <c r="AEJ47" s="1">
        <v>2.2400000000000002</v>
      </c>
      <c r="AEK47" s="1">
        <v>0</v>
      </c>
      <c r="AEL47" s="1">
        <v>0.8</v>
      </c>
      <c r="AEM47" s="1">
        <v>0</v>
      </c>
      <c r="AEN47" s="1">
        <v>0</v>
      </c>
      <c r="AEO47" s="1">
        <v>0</v>
      </c>
      <c r="AEP47" s="1">
        <v>0</v>
      </c>
      <c r="AEQ47" s="1">
        <v>0</v>
      </c>
      <c r="AER47" s="1">
        <v>0</v>
      </c>
      <c r="AES47" s="1">
        <v>0</v>
      </c>
      <c r="AET47" s="1">
        <v>0</v>
      </c>
      <c r="AEU47" s="1">
        <v>0</v>
      </c>
      <c r="AEV47" s="1">
        <v>0</v>
      </c>
      <c r="AEW47" s="1">
        <v>4.3899999999999997</v>
      </c>
      <c r="AEX47" s="1">
        <v>6.2100000000000009</v>
      </c>
      <c r="AEY47" s="1">
        <v>5.13</v>
      </c>
      <c r="AEZ47" s="1">
        <v>3.97</v>
      </c>
      <c r="AFA47" s="1">
        <v>0</v>
      </c>
      <c r="AFB47" s="1">
        <v>3.97</v>
      </c>
      <c r="AFC47" s="1">
        <v>227</v>
      </c>
      <c r="AFD47" s="1">
        <v>230.38</v>
      </c>
      <c r="AFE47" s="1">
        <v>0.51</v>
      </c>
      <c r="AFF47" s="1">
        <v>0.18</v>
      </c>
      <c r="AFG47" s="1">
        <v>0.11989898989898991</v>
      </c>
      <c r="AFH47" s="1">
        <v>0.17780000000000001</v>
      </c>
      <c r="AFI47" s="1">
        <v>0.38175323599898991</v>
      </c>
      <c r="AFJ47" s="1">
        <v>0.69</v>
      </c>
      <c r="AFK47" s="1">
        <v>17.78</v>
      </c>
      <c r="AFL47" s="1">
        <v>17.78</v>
      </c>
      <c r="AFM47" s="1">
        <v>0</v>
      </c>
      <c r="AFO47" s="1">
        <v>17.78</v>
      </c>
      <c r="AFP47" s="1">
        <v>0</v>
      </c>
      <c r="AFQ47" s="1">
        <v>17.78</v>
      </c>
      <c r="AFX47" s="1">
        <v>23.61</v>
      </c>
    </row>
    <row r="48" spans="1:856" s="1" customFormat="1" ht="63.75" customHeight="1">
      <c r="A48" s="88">
        <v>40</v>
      </c>
      <c r="B48" s="20"/>
      <c r="C48" s="89" t="s">
        <v>541</v>
      </c>
      <c r="D48" s="20"/>
      <c r="E48" s="20" t="s">
        <v>536</v>
      </c>
      <c r="F48" s="20" t="s">
        <v>537</v>
      </c>
      <c r="G48" s="20">
        <v>1.2</v>
      </c>
      <c r="H48" s="20">
        <v>742.74</v>
      </c>
      <c r="I48" s="20">
        <f>742.74-0.04-0.5+1.6</f>
        <v>743.80000000000007</v>
      </c>
      <c r="J48" s="20">
        <f t="shared" si="0"/>
        <v>892.56000000000006</v>
      </c>
      <c r="K48" s="20">
        <v>15</v>
      </c>
      <c r="L48" s="20"/>
      <c r="M48" s="20"/>
      <c r="N48" s="20"/>
      <c r="O48" s="90">
        <f t="shared" si="1"/>
        <v>0</v>
      </c>
      <c r="P48" s="20"/>
      <c r="Q48" s="20"/>
      <c r="R48" s="90">
        <f t="shared" si="2"/>
        <v>0</v>
      </c>
      <c r="S48" s="20">
        <v>61.5</v>
      </c>
      <c r="T48" s="20">
        <v>2.6</v>
      </c>
      <c r="U48" s="20">
        <v>3.13</v>
      </c>
      <c r="V48" s="91">
        <f t="shared" si="3"/>
        <v>500.49</v>
      </c>
      <c r="W48" s="20">
        <v>2.1000000000000001E-2</v>
      </c>
      <c r="X48" s="20">
        <f t="shared" si="4"/>
        <v>33.42</v>
      </c>
      <c r="Y48" s="91">
        <f t="shared" si="5"/>
        <v>43.16</v>
      </c>
      <c r="Z48" s="20">
        <v>1.7999999999999999E-2</v>
      </c>
      <c r="AA48" s="20">
        <f t="shared" si="561"/>
        <v>171.12</v>
      </c>
      <c r="AB48" s="91">
        <f t="shared" si="562"/>
        <v>189.43</v>
      </c>
      <c r="AC48" s="91">
        <f t="shared" si="6"/>
        <v>733.08</v>
      </c>
      <c r="AD48" s="90">
        <f t="shared" si="7"/>
        <v>0.99</v>
      </c>
      <c r="AE48" s="92">
        <f t="shared" si="8"/>
        <v>8796.9600000000009</v>
      </c>
      <c r="AF48" s="20">
        <v>40</v>
      </c>
      <c r="AG48" s="20">
        <v>37</v>
      </c>
      <c r="AH48" s="20">
        <v>37</v>
      </c>
      <c r="AI48" s="20">
        <v>40</v>
      </c>
      <c r="AJ48" s="20">
        <v>1.6</v>
      </c>
      <c r="AK48" s="90">
        <f t="shared" si="9"/>
        <v>4.93</v>
      </c>
      <c r="AL48" s="90">
        <v>391.01</v>
      </c>
      <c r="AM48" s="90">
        <f t="shared" si="10"/>
        <v>1927.68</v>
      </c>
      <c r="AN48" s="20">
        <v>42</v>
      </c>
      <c r="AO48" s="20">
        <v>38</v>
      </c>
      <c r="AP48" s="20">
        <v>40</v>
      </c>
      <c r="AQ48" s="20">
        <v>42</v>
      </c>
      <c r="AR48" s="20">
        <v>38</v>
      </c>
      <c r="AS48" s="20">
        <v>42</v>
      </c>
      <c r="AT48" s="20">
        <f t="shared" si="11"/>
        <v>3</v>
      </c>
      <c r="AU48" s="20">
        <v>1.6</v>
      </c>
      <c r="AV48" s="90">
        <f t="shared" si="12"/>
        <v>5.33</v>
      </c>
      <c r="AW48" s="90">
        <f t="shared" si="551"/>
        <v>188.88</v>
      </c>
      <c r="AX48" s="90">
        <v>1057.73</v>
      </c>
      <c r="AY48" s="90">
        <f t="shared" si="14"/>
        <v>1.42</v>
      </c>
      <c r="AZ48" s="90">
        <f t="shared" si="15"/>
        <v>2085.39</v>
      </c>
      <c r="BA48" s="90">
        <f t="shared" si="16"/>
        <v>-1027.6599999999999</v>
      </c>
      <c r="BB48" s="90">
        <v>1057.73</v>
      </c>
      <c r="BC48" s="90">
        <v>1.43</v>
      </c>
      <c r="BD48" s="92">
        <f t="shared" si="17"/>
        <v>12692.76</v>
      </c>
      <c r="BE48" s="90"/>
      <c r="BF48" s="90">
        <f t="shared" si="18"/>
        <v>0</v>
      </c>
      <c r="BG48" s="90">
        <v>391.01</v>
      </c>
      <c r="BH48" s="90">
        <f t="shared" si="19"/>
        <v>2084.08</v>
      </c>
      <c r="BI48" s="90">
        <f t="shared" si="20"/>
        <v>2.8</v>
      </c>
      <c r="BJ48" s="90">
        <f t="shared" si="21"/>
        <v>197.18309859154931</v>
      </c>
      <c r="BK48" s="90">
        <f t="shared" si="22"/>
        <v>2084.08</v>
      </c>
      <c r="BL48" s="90">
        <f t="shared" si="23"/>
        <v>2.8</v>
      </c>
      <c r="BM48" s="90"/>
      <c r="BN48" s="90">
        <f t="shared" si="24"/>
        <v>0</v>
      </c>
      <c r="BO48" s="90">
        <f t="shared" si="25"/>
        <v>2084.08</v>
      </c>
      <c r="BP48" s="90">
        <f t="shared" si="26"/>
        <v>2.8019360043022314</v>
      </c>
      <c r="BQ48" s="90"/>
      <c r="BR48" s="90">
        <f t="shared" si="27"/>
        <v>0</v>
      </c>
      <c r="BS48" s="90">
        <f t="shared" si="28"/>
        <v>2084.08</v>
      </c>
      <c r="BT48" s="90">
        <f t="shared" si="29"/>
        <v>2.8019360043022314</v>
      </c>
      <c r="BU48" s="90"/>
      <c r="BV48" s="93">
        <v>1.7027650000000001</v>
      </c>
      <c r="BW48" s="90">
        <f t="shared" si="30"/>
        <v>1266.5166070000002</v>
      </c>
      <c r="BX48" s="90">
        <f t="shared" si="31"/>
        <v>1342.5076034200004</v>
      </c>
      <c r="BY48" s="90"/>
      <c r="BZ48" s="90">
        <v>1734.5512666300001</v>
      </c>
      <c r="CA48" s="90">
        <v>0.37305430897000003</v>
      </c>
      <c r="CB48" s="90">
        <f t="shared" si="556"/>
        <v>277.47779501188603</v>
      </c>
      <c r="CC48" s="90">
        <v>0.37305430897000003</v>
      </c>
      <c r="CD48" s="90">
        <f t="shared" si="563"/>
        <v>277.47779501188603</v>
      </c>
      <c r="CE48" s="90">
        <f t="shared" si="564"/>
        <v>277.47779501188603</v>
      </c>
      <c r="CF48" s="90">
        <v>268.52342568344903</v>
      </c>
      <c r="CG48" s="90">
        <v>268.52342568344903</v>
      </c>
      <c r="CH48" s="90">
        <f t="shared" si="565"/>
        <v>268.52</v>
      </c>
      <c r="CI48" s="90">
        <f>I48*0.381066133</f>
        <v>283.4369897254</v>
      </c>
      <c r="CJ48" s="90">
        <f t="shared" si="36"/>
        <v>283.29000000000002</v>
      </c>
      <c r="CK48" s="90">
        <f t="shared" si="37"/>
        <v>305.79261811272363</v>
      </c>
      <c r="CL48" s="90">
        <f t="shared" si="38"/>
        <v>305.79261811272363</v>
      </c>
      <c r="CM48" s="94">
        <v>0.14899999999999999</v>
      </c>
      <c r="CN48" s="90">
        <f t="shared" si="39"/>
        <v>188.71097444300003</v>
      </c>
      <c r="CO48" s="90">
        <f t="shared" si="40"/>
        <v>200.03363290958004</v>
      </c>
      <c r="CP48" s="90">
        <v>258.44845950000001</v>
      </c>
      <c r="CQ48" s="90">
        <v>5.0232736819999999E-2</v>
      </c>
      <c r="CR48" s="90">
        <f t="shared" si="557"/>
        <v>37.363109646716005</v>
      </c>
      <c r="CS48" s="90">
        <v>5.0232736819999999E-2</v>
      </c>
      <c r="CT48" s="90">
        <f t="shared" si="566"/>
        <v>37.363109646716005</v>
      </c>
      <c r="CU48" s="90">
        <f t="shared" si="567"/>
        <v>37.363109646716005</v>
      </c>
      <c r="CV48" s="90">
        <v>77.024894759034538</v>
      </c>
      <c r="CW48" s="90">
        <f t="shared" si="568"/>
        <v>77.02</v>
      </c>
      <c r="CX48" s="90">
        <f>I48*0.109301778</f>
        <v>81.298662476400011</v>
      </c>
      <c r="CY48" s="90">
        <f t="shared" si="45"/>
        <v>81.260000000000005</v>
      </c>
      <c r="CZ48" s="90">
        <f t="shared" si="46"/>
        <v>87.710961338555123</v>
      </c>
      <c r="DA48" s="90">
        <f t="shared" si="47"/>
        <v>87.710961338555123</v>
      </c>
      <c r="DB48" s="93">
        <v>1.1979820000000001</v>
      </c>
      <c r="DC48" s="90">
        <f t="shared" si="48"/>
        <v>891.05901160000019</v>
      </c>
      <c r="DD48" s="90">
        <f t="shared" si="49"/>
        <v>944.5225522960003</v>
      </c>
      <c r="DE48" s="90"/>
      <c r="DF48" s="90">
        <v>503.22381200000007</v>
      </c>
      <c r="DG48" s="90">
        <v>0.28219173505</v>
      </c>
      <c r="DH48" s="90">
        <f t="shared" si="558"/>
        <v>209.89421253019003</v>
      </c>
      <c r="DI48" s="90">
        <v>0.28219173505</v>
      </c>
      <c r="DJ48" s="90">
        <f t="shared" si="569"/>
        <v>209.89421253019003</v>
      </c>
      <c r="DK48" s="90">
        <f t="shared" si="570"/>
        <v>209.89421253019003</v>
      </c>
      <c r="DL48" s="90">
        <v>169.58958010515192</v>
      </c>
      <c r="DM48" s="90">
        <f t="shared" si="571"/>
        <v>169.59</v>
      </c>
      <c r="DN48" s="90">
        <f>I48*0.240671106</f>
        <v>179.01116864280002</v>
      </c>
      <c r="DO48" s="90">
        <f t="shared" si="54"/>
        <v>178.92</v>
      </c>
      <c r="DP48" s="90">
        <f t="shared" si="55"/>
        <v>193.13038140764095</v>
      </c>
      <c r="DQ48" s="90">
        <f t="shared" si="56"/>
        <v>193.13038140764095</v>
      </c>
      <c r="DR48" s="93">
        <v>4.2594E-2</v>
      </c>
      <c r="DS48" s="90">
        <f t="shared" si="57"/>
        <v>31.681417200000002</v>
      </c>
      <c r="DT48" s="90">
        <f t="shared" si="58"/>
        <v>33.582302232000004</v>
      </c>
      <c r="DU48" s="90">
        <v>19.033915600000004</v>
      </c>
      <c r="DV48" s="90">
        <v>1.366632888E-2</v>
      </c>
      <c r="DW48" s="90">
        <f t="shared" si="559"/>
        <v>10.165015420944002</v>
      </c>
      <c r="DX48" s="90">
        <v>1.366632888E-2</v>
      </c>
      <c r="DY48" s="90">
        <f t="shared" si="572"/>
        <v>10.165015420944002</v>
      </c>
      <c r="DZ48" s="90">
        <f t="shared" si="573"/>
        <v>10.165015420944002</v>
      </c>
      <c r="EA48" s="90">
        <f t="shared" si="574"/>
        <v>10.17</v>
      </c>
      <c r="EB48" s="90">
        <f>I48*0.014390029</f>
        <v>10.703303570200001</v>
      </c>
      <c r="EC48" s="90">
        <f t="shared" si="63"/>
        <v>10.73</v>
      </c>
      <c r="ED48" s="90">
        <f t="shared" si="64"/>
        <v>11.547509110782141</v>
      </c>
      <c r="EE48" s="90">
        <f t="shared" si="65"/>
        <v>11.547509110782141</v>
      </c>
      <c r="EF48" s="94">
        <v>0.85293354333000004</v>
      </c>
      <c r="EG48" s="90">
        <f t="shared" si="66"/>
        <v>761.29436343462487</v>
      </c>
      <c r="EH48" s="90">
        <f t="shared" si="67"/>
        <v>806.97202524070235</v>
      </c>
      <c r="EI48" s="90">
        <v>650.70917800000007</v>
      </c>
      <c r="EJ48" s="90">
        <v>0.16695248382</v>
      </c>
      <c r="EK48" s="90">
        <f>$I48*EJ48</f>
        <v>124.17925746531601</v>
      </c>
      <c r="EL48" s="90">
        <v>0.16695248382</v>
      </c>
      <c r="EM48" s="90">
        <f t="shared" si="575"/>
        <v>124.17925746531601</v>
      </c>
      <c r="EN48" s="90">
        <f t="shared" si="576"/>
        <v>124.17925746531601</v>
      </c>
      <c r="EO48" s="90">
        <v>120.57636396105457</v>
      </c>
      <c r="EP48" s="90">
        <f t="shared" si="577"/>
        <v>120.58</v>
      </c>
      <c r="EQ48" s="90">
        <f>I48*0.1711193</f>
        <v>127.27853534000002</v>
      </c>
      <c r="ER48" s="90">
        <f t="shared" si="72"/>
        <v>127.21</v>
      </c>
      <c r="ES48" s="90">
        <f t="shared" si="73"/>
        <v>137.31742137424897</v>
      </c>
      <c r="ET48" s="90">
        <f t="shared" si="74"/>
        <v>137.31742137424897</v>
      </c>
      <c r="EU48" s="94">
        <v>0.14899999999999999</v>
      </c>
      <c r="EV48" s="90">
        <f t="shared" si="75"/>
        <v>113.4328601517591</v>
      </c>
      <c r="EW48" s="90">
        <f t="shared" si="76"/>
        <v>120.23883176086466</v>
      </c>
      <c r="EX48" s="90">
        <v>96.966912000000008</v>
      </c>
      <c r="EY48" s="90">
        <v>2.4876671749999999E-2</v>
      </c>
      <c r="EZ48" s="90">
        <f>$I48*EY48</f>
        <v>18.503268447650001</v>
      </c>
      <c r="FA48" s="90">
        <v>2.4876671749999999E-2</v>
      </c>
      <c r="FB48" s="90">
        <f t="shared" si="578"/>
        <v>18.503268447650001</v>
      </c>
      <c r="FC48" s="90">
        <f t="shared" si="579"/>
        <v>18.503268447650001</v>
      </c>
      <c r="FD48" s="90">
        <v>37.269096870773907</v>
      </c>
      <c r="FE48" s="90">
        <f t="shared" si="580"/>
        <v>37.270000000000003</v>
      </c>
      <c r="FF48" s="90">
        <f>I48*0.052891162</f>
        <v>39.340446295600003</v>
      </c>
      <c r="FG48" s="90">
        <f t="shared" si="81"/>
        <v>39.32</v>
      </c>
      <c r="FH48" s="90">
        <f t="shared" si="82"/>
        <v>42.443359570356264</v>
      </c>
      <c r="FI48" s="90">
        <f t="shared" si="83"/>
        <v>42.443359570356264</v>
      </c>
      <c r="FJ48" s="93">
        <v>0.49981642240000002</v>
      </c>
      <c r="FK48" s="90">
        <f t="shared" si="84"/>
        <v>446.11614597734405</v>
      </c>
      <c r="FL48" s="90">
        <f t="shared" si="85"/>
        <v>472.88311473598469</v>
      </c>
      <c r="FM48" s="90">
        <v>358.94691</v>
      </c>
      <c r="FN48" s="90">
        <v>0.10761684168000001</v>
      </c>
      <c r="FO48" s="90">
        <f>$I48*FN48</f>
        <v>80.045406841584011</v>
      </c>
      <c r="FP48" s="90">
        <v>0.10761684168000001</v>
      </c>
      <c r="FQ48" s="90">
        <f t="shared" si="581"/>
        <v>80.045406841584011</v>
      </c>
      <c r="FR48" s="90">
        <f t="shared" si="582"/>
        <v>80.045406841584011</v>
      </c>
      <c r="FS48" s="90">
        <v>61.969178692579533</v>
      </c>
      <c r="FT48" s="90">
        <f t="shared" si="89"/>
        <v>64.94</v>
      </c>
      <c r="FU48" s="90">
        <v>72.871808918934164</v>
      </c>
      <c r="FV48" s="90">
        <f t="shared" si="583"/>
        <v>72.87</v>
      </c>
      <c r="FW48" s="90">
        <f>I48*0.103412368</f>
        <v>76.918119318400016</v>
      </c>
      <c r="FX48" s="90">
        <f t="shared" si="91"/>
        <v>76.88</v>
      </c>
      <c r="FY48" s="90">
        <f t="shared" si="92"/>
        <v>82.98491001286763</v>
      </c>
      <c r="FZ48" s="90">
        <f t="shared" si="93"/>
        <v>82.98491001286763</v>
      </c>
      <c r="GA48" s="94">
        <v>1.352261642E-2</v>
      </c>
      <c r="GB48" s="90">
        <f t="shared" si="94"/>
        <v>12.0697465118352</v>
      </c>
      <c r="GC48" s="90">
        <f t="shared" si="95"/>
        <v>12.793931302545314</v>
      </c>
      <c r="GD48" s="90">
        <v>10.479497</v>
      </c>
      <c r="GE48" s="90">
        <v>2.9119942899999999E-3</v>
      </c>
      <c r="GF48" s="90">
        <f>$I48*GE48</f>
        <v>2.1659413529020002</v>
      </c>
      <c r="GG48" s="90">
        <v>2.9119942899999999E-3</v>
      </c>
      <c r="GH48" s="90">
        <f t="shared" si="584"/>
        <v>2.1659413529020002</v>
      </c>
      <c r="GI48" s="90">
        <f t="shared" si="585"/>
        <v>2.1659413529020002</v>
      </c>
      <c r="GJ48" s="90">
        <f t="shared" si="586"/>
        <v>2.17</v>
      </c>
      <c r="GK48" s="90">
        <f>I48*0.003065332</f>
        <v>2.2799939416000004</v>
      </c>
      <c r="GL48" s="90">
        <f t="shared" si="100"/>
        <v>2.29</v>
      </c>
      <c r="GM48" s="90">
        <f t="shared" si="101"/>
        <v>2.4598247298578788</v>
      </c>
      <c r="GN48" s="90">
        <f t="shared" si="102"/>
        <v>2.4598247298578788</v>
      </c>
      <c r="GO48" s="90">
        <v>3024</v>
      </c>
      <c r="GP48" s="90">
        <f t="shared" si="103"/>
        <v>252</v>
      </c>
      <c r="GQ48" s="90">
        <f>1984.5+138.6</f>
        <v>2123.1</v>
      </c>
      <c r="GR48" s="90">
        <f t="shared" si="104"/>
        <v>176.92499999999998</v>
      </c>
      <c r="GS48" s="90">
        <f t="shared" si="105"/>
        <v>428.92499999999995</v>
      </c>
      <c r="GT48" s="90">
        <f t="shared" si="106"/>
        <v>0.57999999999999996</v>
      </c>
      <c r="GU48" s="90">
        <v>3454.2</v>
      </c>
      <c r="GV48" s="90">
        <f>1881+132.24</f>
        <v>2013.24</v>
      </c>
      <c r="GW48" s="90">
        <f t="shared" si="107"/>
        <v>455.61999999999995</v>
      </c>
      <c r="GX48" s="90">
        <f t="shared" si="108"/>
        <v>0.61</v>
      </c>
      <c r="GY48" s="90">
        <v>6173.1</v>
      </c>
      <c r="GZ48" s="90">
        <f>2000.7+141.36</f>
        <v>2142.06</v>
      </c>
      <c r="HA48" s="90">
        <f t="shared" si="109"/>
        <v>692.93</v>
      </c>
      <c r="HB48" s="90">
        <f t="shared" si="110"/>
        <v>0.93</v>
      </c>
      <c r="HC48" s="90">
        <v>6173.1</v>
      </c>
      <c r="HD48" s="90">
        <f>2000.7+141.36</f>
        <v>2142.06</v>
      </c>
      <c r="HE48" s="90">
        <f t="shared" si="111"/>
        <v>692.93</v>
      </c>
      <c r="HF48" s="90">
        <f t="shared" si="112"/>
        <v>0.93</v>
      </c>
      <c r="HG48" s="90"/>
      <c r="HH48" s="90"/>
      <c r="HI48" s="90">
        <v>0.96</v>
      </c>
      <c r="HJ48" s="90">
        <f t="shared" si="113"/>
        <v>714.048</v>
      </c>
      <c r="HK48" s="90">
        <f t="shared" si="114"/>
        <v>1.0099220220489378</v>
      </c>
      <c r="HL48" s="90">
        <f t="shared" si="587"/>
        <v>751.18</v>
      </c>
      <c r="HM48" s="90">
        <v>1.07</v>
      </c>
      <c r="HN48" s="90">
        <f t="shared" si="116"/>
        <v>795.8660000000001</v>
      </c>
      <c r="HO48" s="90">
        <v>1.1499999999999999</v>
      </c>
      <c r="HP48" s="90">
        <f t="shared" si="117"/>
        <v>855.37</v>
      </c>
      <c r="HQ48" s="90">
        <v>1.1499999999999999</v>
      </c>
      <c r="HR48" s="90">
        <f t="shared" si="118"/>
        <v>855.37</v>
      </c>
      <c r="HS48" s="90">
        <v>0.96</v>
      </c>
      <c r="HT48" s="90">
        <f t="shared" si="588"/>
        <v>714.048</v>
      </c>
      <c r="HU48" s="90" t="e">
        <f>HT48*#REF!</f>
        <v>#REF!</v>
      </c>
      <c r="HV48" s="90">
        <v>2.83</v>
      </c>
      <c r="HW48" s="20">
        <v>3.49</v>
      </c>
      <c r="HX48" s="90">
        <f t="shared" si="120"/>
        <v>2595.8620000000005</v>
      </c>
      <c r="HY48" s="90">
        <v>1.06</v>
      </c>
      <c r="HZ48" s="90">
        <f t="shared" si="121"/>
        <v>2751.6137200000007</v>
      </c>
      <c r="IA48" s="90">
        <f t="shared" si="122"/>
        <v>3.7</v>
      </c>
      <c r="IB48" s="90">
        <f t="shared" si="123"/>
        <v>3.88</v>
      </c>
      <c r="IC48" s="90">
        <f t="shared" si="124"/>
        <v>2885.944</v>
      </c>
      <c r="ID48" s="90">
        <f t="shared" si="125"/>
        <v>4.09</v>
      </c>
      <c r="IE48" s="90">
        <f t="shared" si="126"/>
        <v>3042.14</v>
      </c>
      <c r="IF48" s="90">
        <f t="shared" si="127"/>
        <v>4.09</v>
      </c>
      <c r="IG48" s="92">
        <f t="shared" si="128"/>
        <v>36505.68</v>
      </c>
      <c r="IH48" s="90">
        <v>4.3899999999999997</v>
      </c>
      <c r="II48" s="90">
        <f t="shared" si="129"/>
        <v>4.6100000000000003</v>
      </c>
      <c r="IJ48" s="90">
        <f t="shared" si="130"/>
        <v>3428.92</v>
      </c>
      <c r="IK48" s="90">
        <f t="shared" si="131"/>
        <v>4.6100000000000003</v>
      </c>
      <c r="IL48" s="90">
        <f t="shared" si="132"/>
        <v>3428.92</v>
      </c>
      <c r="IM48" s="90">
        <f t="shared" si="133"/>
        <v>4.6100000000000003</v>
      </c>
      <c r="IN48" s="90">
        <f t="shared" si="134"/>
        <v>3428.92</v>
      </c>
      <c r="IO48" s="90">
        <f t="shared" si="135"/>
        <v>4.6100000000000003</v>
      </c>
      <c r="IP48" s="93">
        <v>0.37052404126999999</v>
      </c>
      <c r="IQ48" s="90">
        <f t="shared" si="136"/>
        <v>330.71493827595123</v>
      </c>
      <c r="IR48" s="90">
        <f t="shared" si="137"/>
        <v>350.55783457250834</v>
      </c>
      <c r="IS48" s="90">
        <v>18121.54</v>
      </c>
      <c r="IT48" s="90">
        <v>509.05</v>
      </c>
      <c r="IU48" s="90"/>
      <c r="IV48" s="90">
        <v>176.72546500000001</v>
      </c>
      <c r="IW48" s="90">
        <v>1.89119998663</v>
      </c>
      <c r="IX48" s="90">
        <f>$I48*IW48</f>
        <v>1406.6745500553941</v>
      </c>
      <c r="IY48" s="90">
        <v>1.89119998663</v>
      </c>
      <c r="IZ48" s="90">
        <f t="shared" si="139"/>
        <v>1406.6745500553941</v>
      </c>
      <c r="JA48" s="90">
        <f t="shared" si="589"/>
        <v>1369.48</v>
      </c>
      <c r="JB48" s="90">
        <f>I48*1.939304757</f>
        <v>1442.4548782566001</v>
      </c>
      <c r="JC48" s="90">
        <f t="shared" si="141"/>
        <v>1444.8</v>
      </c>
      <c r="JD48" s="90">
        <f t="shared" si="142"/>
        <v>1556.226144508857</v>
      </c>
      <c r="JE48" s="90">
        <f t="shared" si="143"/>
        <v>1556.226144508857</v>
      </c>
      <c r="JF48" s="93">
        <v>4.2278943710000003E-2</v>
      </c>
      <c r="JG48" s="90">
        <f t="shared" si="144"/>
        <v>37.736493997797602</v>
      </c>
      <c r="JH48" s="90">
        <f t="shared" si="145"/>
        <v>40.00068363766546</v>
      </c>
      <c r="JI48" s="20">
        <v>101.71</v>
      </c>
      <c r="JJ48" s="90">
        <v>22.488956000000002</v>
      </c>
      <c r="JK48" s="90">
        <v>0.21559114040999999</v>
      </c>
      <c r="JL48" s="90">
        <f>$I48*JK48</f>
        <v>160.356690236958</v>
      </c>
      <c r="JM48" s="90">
        <v>0.21559114040999999</v>
      </c>
      <c r="JN48" s="90">
        <f t="shared" si="147"/>
        <v>160.356690236958</v>
      </c>
      <c r="JO48" s="90">
        <f t="shared" si="590"/>
        <v>160.36000000000001</v>
      </c>
      <c r="JP48" s="90">
        <f>I48*0.227075793</f>
        <v>168.89897483340002</v>
      </c>
      <c r="JQ48" s="90">
        <f t="shared" si="149"/>
        <v>169.18</v>
      </c>
      <c r="JR48" s="90">
        <f t="shared" si="150"/>
        <v>182.2206048719971</v>
      </c>
      <c r="JS48" s="90">
        <f t="shared" si="151"/>
        <v>182.2206048719971</v>
      </c>
      <c r="JT48" s="93">
        <v>7.3220517000000002E-3</v>
      </c>
      <c r="JU48" s="90">
        <f t="shared" si="152"/>
        <v>6.5353704653520008</v>
      </c>
      <c r="JV48" s="90">
        <f t="shared" si="591"/>
        <v>6.54</v>
      </c>
      <c r="JW48" s="90">
        <f>I48*0.00925276</f>
        <v>6.882202888000001</v>
      </c>
      <c r="JX48" s="90">
        <f t="shared" si="154"/>
        <v>6.9</v>
      </c>
      <c r="JY48" s="90">
        <f t="shared" si="155"/>
        <v>7.4250253699892177</v>
      </c>
      <c r="JZ48" s="90">
        <f t="shared" si="156"/>
        <v>7.4250253699892177</v>
      </c>
      <c r="KA48" s="90">
        <v>7.3642000000000004E-3</v>
      </c>
      <c r="KB48" s="90">
        <v>6.5213121260880005</v>
      </c>
      <c r="KC48" s="90" t="e">
        <f>KB48*#REF!</f>
        <v>#REF!</v>
      </c>
      <c r="KD48" s="90">
        <v>17952.740000000002</v>
      </c>
      <c r="KE48" s="90">
        <v>22700.14</v>
      </c>
      <c r="KF48" s="90"/>
      <c r="KG48" s="90">
        <f t="shared" si="550"/>
        <v>940.48953708458987</v>
      </c>
      <c r="KH48" s="90" t="e">
        <f>KG48/(BW48+#REF!)*(CB48+#REF!)</f>
        <v>#REF!</v>
      </c>
      <c r="KI48" s="90">
        <v>0.8</v>
      </c>
      <c r="KJ48" s="94"/>
      <c r="KK48" s="90">
        <f t="shared" si="159"/>
        <v>0</v>
      </c>
      <c r="KL48" s="93">
        <v>1.5492759</v>
      </c>
      <c r="KM48" s="90">
        <v>1281.9316858154807</v>
      </c>
      <c r="KN48" s="90">
        <f t="shared" si="161"/>
        <v>1358.8475869644096</v>
      </c>
      <c r="KO48" s="90" t="e">
        <f>BW48+CN48+DC48+DS48+EG48+EV48+FK48+GB48+#REF!+#REF!+HJ48+HX48+IQ48+JG48+JU48+KK48+KM48</f>
        <v>#REF!</v>
      </c>
      <c r="KP48" s="90">
        <v>1012.344662</v>
      </c>
      <c r="KQ48" s="90">
        <v>0.28334929455000002</v>
      </c>
      <c r="KR48" s="90">
        <f t="shared" si="560"/>
        <v>210.75520528629002</v>
      </c>
      <c r="KS48" s="90">
        <v>0.28334929455000002</v>
      </c>
      <c r="KT48" s="90">
        <f t="shared" si="592"/>
        <v>210.75520528629002</v>
      </c>
      <c r="KU48" s="90">
        <f t="shared" si="593"/>
        <v>210.75520528629002</v>
      </c>
      <c r="KV48" s="90">
        <f t="shared" si="594"/>
        <v>210.76</v>
      </c>
      <c r="KW48" s="90">
        <f>I48*0.298444093</f>
        <v>221.98271637340002</v>
      </c>
      <c r="KX48" s="90">
        <f t="shared" si="166"/>
        <v>222.35</v>
      </c>
      <c r="KY48" s="90">
        <f t="shared" si="167"/>
        <v>239.491239592124</v>
      </c>
      <c r="KZ48" s="90">
        <f t="shared" si="168"/>
        <v>239.491239592124</v>
      </c>
      <c r="LA48" s="90">
        <f t="shared" si="169"/>
        <v>3436.3519916618002</v>
      </c>
      <c r="LB48" s="90">
        <f t="shared" si="170"/>
        <v>4.62</v>
      </c>
      <c r="LC48" s="92">
        <f t="shared" si="171"/>
        <v>41236.2238999416</v>
      </c>
      <c r="LD48" s="92">
        <v>4.97</v>
      </c>
      <c r="LE48" s="92">
        <v>3696.6900000000005</v>
      </c>
      <c r="LF48" s="90">
        <f t="shared" si="172"/>
        <v>4.9800000000000004</v>
      </c>
      <c r="LG48" s="90">
        <f t="shared" si="173"/>
        <v>3704.12</v>
      </c>
      <c r="LH48" s="90">
        <f t="shared" si="174"/>
        <v>3694.0783910364348</v>
      </c>
      <c r="LI48" s="90">
        <f t="shared" si="175"/>
        <v>4.97</v>
      </c>
      <c r="LJ48" s="90">
        <f t="shared" si="176"/>
        <v>3704.1200000000003</v>
      </c>
      <c r="LK48" s="90">
        <f t="shared" si="177"/>
        <v>4.9800000000000004</v>
      </c>
      <c r="LL48" s="90">
        <f t="shared" si="178"/>
        <v>3704.1200000000003</v>
      </c>
      <c r="LM48" s="90">
        <f t="shared" si="179"/>
        <v>4.9800000000000004</v>
      </c>
      <c r="LN48" s="95">
        <v>0.46</v>
      </c>
      <c r="LO48" s="95">
        <f t="shared" si="180"/>
        <v>342.15</v>
      </c>
      <c r="LP48" s="95"/>
      <c r="LQ48" s="95">
        <f t="shared" si="181"/>
        <v>0</v>
      </c>
      <c r="LR48" s="90"/>
      <c r="LS48" s="90"/>
      <c r="LT48" s="90">
        <f t="shared" si="182"/>
        <v>0</v>
      </c>
      <c r="LU48" s="90"/>
      <c r="LV48" s="90">
        <f t="shared" si="183"/>
        <v>0</v>
      </c>
      <c r="LW48" s="90">
        <f t="shared" si="184"/>
        <v>0</v>
      </c>
      <c r="LX48" s="90"/>
      <c r="LY48" s="90"/>
      <c r="LZ48" s="90">
        <f t="shared" si="185"/>
        <v>0</v>
      </c>
      <c r="MA48" s="90"/>
      <c r="MB48" s="90">
        <f t="shared" si="186"/>
        <v>0</v>
      </c>
      <c r="MC48" s="90">
        <f t="shared" si="187"/>
        <v>0</v>
      </c>
      <c r="MD48" s="90"/>
      <c r="ME48" s="90"/>
      <c r="MF48" s="90">
        <f t="shared" si="188"/>
        <v>0</v>
      </c>
      <c r="MG48" s="90"/>
      <c r="MH48" s="90">
        <f t="shared" si="189"/>
        <v>0</v>
      </c>
      <c r="MI48" s="90">
        <f t="shared" si="190"/>
        <v>0</v>
      </c>
      <c r="MJ48" s="90"/>
      <c r="MK48" s="90"/>
      <c r="ML48" s="90">
        <f t="shared" si="191"/>
        <v>0</v>
      </c>
      <c r="MM48" s="90"/>
      <c r="MN48" s="90">
        <f t="shared" si="192"/>
        <v>0</v>
      </c>
      <c r="MO48" s="90">
        <f t="shared" si="193"/>
        <v>0</v>
      </c>
      <c r="MP48" s="90">
        <f t="shared" si="194"/>
        <v>0</v>
      </c>
      <c r="MQ48" s="90">
        <f t="shared" si="195"/>
        <v>0</v>
      </c>
      <c r="MR48" s="90">
        <f t="shared" si="196"/>
        <v>0</v>
      </c>
      <c r="MS48" s="90">
        <f t="shared" si="197"/>
        <v>0</v>
      </c>
      <c r="MT48" s="95"/>
      <c r="MU48" s="95">
        <f t="shared" si="198"/>
        <v>0</v>
      </c>
      <c r="MV48" s="92">
        <f t="shared" si="199"/>
        <v>0</v>
      </c>
      <c r="MW48" s="95"/>
      <c r="MX48" s="95">
        <f t="shared" si="200"/>
        <v>0</v>
      </c>
      <c r="MY48" s="95"/>
      <c r="MZ48" s="95">
        <f t="shared" si="201"/>
        <v>0</v>
      </c>
      <c r="NA48" s="95"/>
      <c r="NB48" s="95">
        <f t="shared" si="202"/>
        <v>0</v>
      </c>
      <c r="NC48" s="92">
        <f t="shared" si="203"/>
        <v>0</v>
      </c>
      <c r="ND48" s="95"/>
      <c r="NE48" s="95">
        <f t="shared" si="204"/>
        <v>0</v>
      </c>
      <c r="NF48" s="95"/>
      <c r="NG48" s="95">
        <f t="shared" si="205"/>
        <v>0</v>
      </c>
      <c r="NH48" s="95"/>
      <c r="NI48" s="95"/>
      <c r="NJ48" s="95">
        <f t="shared" si="206"/>
        <v>0</v>
      </c>
      <c r="NK48" s="92">
        <f t="shared" si="207"/>
        <v>0</v>
      </c>
      <c r="NL48" s="95"/>
      <c r="NM48" s="95">
        <f t="shared" si="208"/>
        <v>0</v>
      </c>
      <c r="NN48" s="95"/>
      <c r="NO48" s="95">
        <f t="shared" si="209"/>
        <v>0</v>
      </c>
      <c r="NP48" s="95"/>
      <c r="NQ48" s="95">
        <f t="shared" si="210"/>
        <v>0</v>
      </c>
      <c r="NR48" s="92">
        <f t="shared" si="211"/>
        <v>0</v>
      </c>
      <c r="NS48" s="95"/>
      <c r="NT48" s="95">
        <f t="shared" si="212"/>
        <v>0</v>
      </c>
      <c r="NU48" s="95"/>
      <c r="NV48" s="95">
        <f t="shared" si="213"/>
        <v>0</v>
      </c>
      <c r="NW48" s="95">
        <f>0.55+0.25</f>
        <v>0.8</v>
      </c>
      <c r="NX48" s="95">
        <f t="shared" si="214"/>
        <v>595.04</v>
      </c>
      <c r="NY48" s="92">
        <f t="shared" si="215"/>
        <v>7140.48</v>
      </c>
      <c r="NZ48" s="112">
        <f>0.55+0.25</f>
        <v>0.8</v>
      </c>
      <c r="OA48" s="95">
        <f t="shared" si="216"/>
        <v>595.04</v>
      </c>
      <c r="OB48" s="112">
        <f>0.53+0.25</f>
        <v>0.78</v>
      </c>
      <c r="OC48" s="95">
        <f t="shared" si="217"/>
        <v>580.16</v>
      </c>
      <c r="OD48" s="90">
        <v>5325.61</v>
      </c>
      <c r="OE48" s="90">
        <f t="shared" si="218"/>
        <v>7.16</v>
      </c>
      <c r="OF48" s="92">
        <f t="shared" si="219"/>
        <v>63907.319999999992</v>
      </c>
      <c r="OG48" s="96">
        <v>1057.73</v>
      </c>
      <c r="OH48" s="96">
        <v>1.43</v>
      </c>
      <c r="OI48" s="90">
        <v>6375.5</v>
      </c>
      <c r="OJ48" s="90">
        <f t="shared" si="220"/>
        <v>8.57</v>
      </c>
      <c r="OK48" s="90">
        <f t="shared" si="221"/>
        <v>6383.34</v>
      </c>
      <c r="OL48" s="90">
        <f t="shared" si="222"/>
        <v>8.58</v>
      </c>
      <c r="OM48" s="90">
        <f t="shared" si="223"/>
        <v>-9.9999999999997868E-3</v>
      </c>
      <c r="ON48" s="90">
        <v>5314.15</v>
      </c>
      <c r="OO48" s="90">
        <f t="shared" si="224"/>
        <v>7.14</v>
      </c>
      <c r="OP48" s="90">
        <v>5317.77</v>
      </c>
      <c r="OQ48" s="90">
        <v>7.16</v>
      </c>
      <c r="OR48" s="90">
        <f t="shared" si="225"/>
        <v>-2.0000000000000462E-2</v>
      </c>
      <c r="OS48" s="90">
        <f t="shared" si="226"/>
        <v>7.15</v>
      </c>
      <c r="OT48" s="90">
        <v>5314.15</v>
      </c>
      <c r="OU48" s="90">
        <f t="shared" si="227"/>
        <v>7.14</v>
      </c>
      <c r="OV48" s="97">
        <v>4581.8100000000004</v>
      </c>
      <c r="OW48" s="90">
        <f t="shared" si="228"/>
        <v>4581.8100000000004</v>
      </c>
      <c r="OX48" s="90">
        <f t="shared" si="229"/>
        <v>6.16</v>
      </c>
      <c r="OY48" s="90">
        <f>OU48-1+0.02</f>
        <v>6.1599999999999993</v>
      </c>
      <c r="OZ48" s="90"/>
      <c r="PA48" s="90"/>
      <c r="PB48" s="95">
        <f t="shared" si="230"/>
        <v>0</v>
      </c>
      <c r="PC48" s="92">
        <f t="shared" si="231"/>
        <v>0</v>
      </c>
      <c r="PD48" s="90"/>
      <c r="PE48" s="95">
        <f t="shared" si="232"/>
        <v>0</v>
      </c>
      <c r="PF48" s="90">
        <f t="shared" si="233"/>
        <v>13885.796991661802</v>
      </c>
      <c r="PG48" s="90">
        <f t="shared" si="234"/>
        <v>18.670000000000002</v>
      </c>
      <c r="PH48" s="90">
        <f t="shared" si="235"/>
        <v>15429.050000000003</v>
      </c>
      <c r="PI48" s="90">
        <f t="shared" si="236"/>
        <v>20.74</v>
      </c>
      <c r="PJ48" s="90">
        <f t="shared" si="237"/>
        <v>15429.050000000003</v>
      </c>
      <c r="PK48" s="90">
        <f t="shared" si="238"/>
        <v>20.74</v>
      </c>
      <c r="PL48" s="90"/>
      <c r="PM48" s="90">
        <f t="shared" si="239"/>
        <v>416.57</v>
      </c>
      <c r="PN48" s="90">
        <f t="shared" si="240"/>
        <v>0.56000000000000005</v>
      </c>
      <c r="PO48" s="92">
        <f t="shared" si="241"/>
        <v>4998.84</v>
      </c>
      <c r="PP48" s="90">
        <f t="shared" si="242"/>
        <v>462.87</v>
      </c>
      <c r="PQ48" s="90">
        <f t="shared" si="243"/>
        <v>0.62</v>
      </c>
      <c r="PR48" s="90">
        <f t="shared" si="244"/>
        <v>462.87</v>
      </c>
      <c r="PS48" s="90">
        <f t="shared" si="245"/>
        <v>0.62</v>
      </c>
      <c r="PT48" s="90">
        <f t="shared" si="246"/>
        <v>14302.366991661802</v>
      </c>
      <c r="PU48" s="90">
        <f t="shared" si="247"/>
        <v>19.23</v>
      </c>
      <c r="PV48" s="90">
        <f t="shared" si="248"/>
        <v>15891.920000000004</v>
      </c>
      <c r="PW48" s="90">
        <f t="shared" si="249"/>
        <v>21.37</v>
      </c>
      <c r="PX48" s="90">
        <f t="shared" si="250"/>
        <v>15891.920000000004</v>
      </c>
      <c r="PY48" s="90">
        <f t="shared" si="251"/>
        <v>21.37</v>
      </c>
      <c r="PZ48" s="90">
        <f t="shared" si="252"/>
        <v>144.47</v>
      </c>
      <c r="QA48" s="90">
        <f t="shared" si="253"/>
        <v>0.19</v>
      </c>
      <c r="QB48" s="92">
        <f t="shared" si="254"/>
        <v>1733.6399999999999</v>
      </c>
      <c r="QC48" s="90">
        <f t="shared" si="255"/>
        <v>160.52000000000001</v>
      </c>
      <c r="QD48" s="90">
        <f t="shared" si="256"/>
        <v>0.22</v>
      </c>
      <c r="QE48" s="90">
        <f t="shared" si="257"/>
        <v>160.52000000000001</v>
      </c>
      <c r="QF48" s="90">
        <f t="shared" si="258"/>
        <v>0.22</v>
      </c>
      <c r="QG48" s="90">
        <f t="shared" si="259"/>
        <v>14446.836991661801</v>
      </c>
      <c r="QH48" s="90">
        <f t="shared" si="260"/>
        <v>19.420000000000002</v>
      </c>
      <c r="QI48" s="92">
        <f t="shared" si="261"/>
        <v>173362.04389994161</v>
      </c>
      <c r="QJ48" s="90">
        <f t="shared" si="262"/>
        <v>241.40271637340004</v>
      </c>
      <c r="QK48" s="98">
        <f t="shared" si="263"/>
        <v>0.27615000000000001</v>
      </c>
      <c r="QL48" s="90">
        <f t="shared" si="264"/>
        <v>205.40037000000004</v>
      </c>
      <c r="QM48" s="90">
        <f t="shared" si="265"/>
        <v>0.18410000000000001</v>
      </c>
      <c r="QN48" s="90">
        <f t="shared" si="266"/>
        <v>136.93358000000003</v>
      </c>
      <c r="QO48" s="90">
        <v>0.27615000000000001</v>
      </c>
      <c r="QP48" s="90">
        <v>0.18410000000000001</v>
      </c>
      <c r="QQ48" s="97">
        <f t="shared" si="267"/>
        <v>342.33395000000007</v>
      </c>
      <c r="QR48" s="97">
        <v>341.59755000000007</v>
      </c>
      <c r="QS48" s="97">
        <f t="shared" si="268"/>
        <v>0.73640000000000327</v>
      </c>
      <c r="QT48" s="90"/>
      <c r="QU48" s="90">
        <f t="shared" si="269"/>
        <v>0.18410000000000001</v>
      </c>
      <c r="QV48" s="90">
        <f t="shared" si="270"/>
        <v>136.93358000000003</v>
      </c>
      <c r="QW48" s="90">
        <f t="shared" si="271"/>
        <v>342.33395000000007</v>
      </c>
      <c r="QX48" s="90">
        <f t="shared" si="272"/>
        <v>0.46025000000000005</v>
      </c>
      <c r="QY48" s="90"/>
      <c r="QZ48" s="90"/>
      <c r="RA48" s="90"/>
      <c r="RB48" s="90">
        <v>3251.0800000000004</v>
      </c>
      <c r="RC48" s="97">
        <f t="shared" si="273"/>
        <v>14446.836991661801</v>
      </c>
      <c r="RD48" s="97">
        <f t="shared" si="274"/>
        <v>19.420000000000002</v>
      </c>
      <c r="RE48" s="90">
        <f t="shared" si="275"/>
        <v>16052.440000000004</v>
      </c>
      <c r="RF48" s="90">
        <f t="shared" si="276"/>
        <v>21.58</v>
      </c>
      <c r="RG48" s="90">
        <f t="shared" si="277"/>
        <v>111.12255406797114</v>
      </c>
      <c r="RH48" s="90">
        <f t="shared" si="278"/>
        <v>16052.440000000004</v>
      </c>
      <c r="RI48" s="90">
        <f t="shared" si="279"/>
        <v>21.58</v>
      </c>
      <c r="RJ48" s="90">
        <v>21.28</v>
      </c>
      <c r="RK48" s="90">
        <v>0</v>
      </c>
      <c r="RL48" s="90">
        <f t="shared" si="280"/>
        <v>0.29999999999999716</v>
      </c>
      <c r="RM48" s="90">
        <f t="shared" si="281"/>
        <v>104.35203094777563</v>
      </c>
      <c r="RN48" s="90">
        <f t="shared" si="282"/>
        <v>8855.3169916618008</v>
      </c>
      <c r="RO48" s="90"/>
      <c r="RP48" s="90"/>
      <c r="RQ48" s="99">
        <v>3348</v>
      </c>
      <c r="RR48" s="90">
        <f t="shared" si="283"/>
        <v>9121.2269916618006</v>
      </c>
      <c r="RS48" s="90">
        <f t="shared" si="284"/>
        <v>12.263010206590213</v>
      </c>
      <c r="RT48" s="20">
        <f>14.56+3.3</f>
        <v>17.86</v>
      </c>
      <c r="RU48" s="90">
        <f t="shared" si="285"/>
        <v>13284.268</v>
      </c>
      <c r="RV48" s="90">
        <f t="shared" si="286"/>
        <v>0.324553262131487</v>
      </c>
      <c r="RW48" s="20">
        <v>13.49</v>
      </c>
      <c r="RX48" s="90">
        <f t="shared" si="287"/>
        <v>14.1645</v>
      </c>
      <c r="RY48" s="90">
        <f t="shared" si="288"/>
        <v>10535.555100000001</v>
      </c>
      <c r="RZ48" s="90">
        <f t="shared" si="289"/>
        <v>3258.1638227611829</v>
      </c>
      <c r="SA48" s="90">
        <f t="shared" si="290"/>
        <v>970.54921200347906</v>
      </c>
      <c r="SB48" s="90">
        <f t="shared" si="291"/>
        <v>970.53515366421504</v>
      </c>
      <c r="SC48" s="90">
        <f t="shared" si="292"/>
        <v>3258.1638227611829</v>
      </c>
      <c r="SD48" s="90">
        <f t="shared" si="293"/>
        <v>3258.1497644219189</v>
      </c>
      <c r="SE48" s="90">
        <f t="shared" si="294"/>
        <v>3256.5541985012896</v>
      </c>
      <c r="SF48" s="90">
        <f t="shared" si="295"/>
        <v>3245.6533128898836</v>
      </c>
      <c r="SG48" s="90">
        <f t="shared" si="296"/>
        <v>12.510509871299291</v>
      </c>
      <c r="SH48" s="90">
        <f t="shared" si="297"/>
        <v>3256.5559431162383</v>
      </c>
      <c r="SI48" s="90">
        <f t="shared" si="298"/>
        <v>4.380411084191878</v>
      </c>
      <c r="SJ48" s="100">
        <f t="shared" si="299"/>
        <v>4.3636102620192032</v>
      </c>
      <c r="SK48" s="100"/>
      <c r="SL48" s="100"/>
      <c r="SM48" s="90"/>
      <c r="SN48" s="90">
        <f t="shared" si="300"/>
        <v>3297.54</v>
      </c>
      <c r="SO48" s="90" t="e">
        <f>RU48-#REF!-#REF!-HZ48-LT48-LZ48-MF48-ML48-QL48-QN48-SD48</f>
        <v>#REF!</v>
      </c>
      <c r="SP48" s="90">
        <f t="shared" si="301"/>
        <v>3256.51</v>
      </c>
      <c r="SQ48" s="90">
        <f t="shared" si="302"/>
        <v>3436.3519916618002</v>
      </c>
      <c r="SR48" s="90">
        <f t="shared" si="303"/>
        <v>4.3782065071255714</v>
      </c>
      <c r="SS48" s="90">
        <f t="shared" si="304"/>
        <v>4.6199946110000001</v>
      </c>
      <c r="ST48" s="90">
        <f t="shared" si="305"/>
        <v>3438.9959999999996</v>
      </c>
      <c r="SU48" s="90">
        <v>4.3803287523578556</v>
      </c>
      <c r="SV48" s="90">
        <f t="shared" si="306"/>
        <v>4.62</v>
      </c>
      <c r="SW48" s="90">
        <v>4.62</v>
      </c>
      <c r="SX48" s="90">
        <f t="shared" si="307"/>
        <v>3436.36</v>
      </c>
      <c r="SY48" s="90">
        <v>4.3804095931015894</v>
      </c>
      <c r="SZ48" s="90">
        <f t="shared" si="308"/>
        <v>3258.1486553489626</v>
      </c>
      <c r="TA48" s="90">
        <f t="shared" si="309"/>
        <v>1.6386553489624021</v>
      </c>
      <c r="TB48" s="90">
        <v>0</v>
      </c>
      <c r="TC48" s="90">
        <f t="shared" si="310"/>
        <v>5564.8250500000013</v>
      </c>
      <c r="TD48" s="90" t="e">
        <f>#REF!+#REF!</f>
        <v>#REF!</v>
      </c>
      <c r="TE48" s="90" t="e">
        <f t="shared" si="311"/>
        <v>#REF!</v>
      </c>
      <c r="TF48" s="90">
        <v>5532.0784500000009</v>
      </c>
      <c r="TG48" s="90">
        <f t="shared" si="312"/>
        <v>41.890340137672631</v>
      </c>
      <c r="TH48" s="95"/>
      <c r="TI48" s="95"/>
      <c r="TJ48" s="95"/>
      <c r="TK48" s="95"/>
      <c r="TL48" s="95">
        <v>0.55000000000000004</v>
      </c>
      <c r="TM48" s="95">
        <f t="shared" si="313"/>
        <v>409.09000000000009</v>
      </c>
      <c r="TN48" s="95">
        <f t="shared" si="314"/>
        <v>13693.358</v>
      </c>
      <c r="TO48" s="95">
        <f t="shared" si="315"/>
        <v>40.638863381794302</v>
      </c>
      <c r="TP48" s="95"/>
      <c r="TQ48" s="95">
        <f t="shared" si="316"/>
        <v>18.41</v>
      </c>
      <c r="TR48" s="95"/>
      <c r="TS48" s="95"/>
      <c r="TT48" s="95"/>
      <c r="TU48" s="95"/>
      <c r="TV48" s="95"/>
      <c r="TW48" s="95"/>
      <c r="TX48" s="95"/>
      <c r="TY48" s="95"/>
      <c r="TZ48" s="95">
        <f t="shared" si="317"/>
        <v>2.5</v>
      </c>
      <c r="UA48" s="95">
        <f t="shared" si="318"/>
        <v>0.81004000000000009</v>
      </c>
      <c r="UB48" s="90">
        <v>0</v>
      </c>
      <c r="UC48" s="90">
        <f t="shared" si="319"/>
        <v>0</v>
      </c>
      <c r="UD48" s="90">
        <f t="shared" si="320"/>
        <v>0</v>
      </c>
      <c r="UE48" s="90">
        <f t="shared" si="321"/>
        <v>0</v>
      </c>
      <c r="UF48" s="90">
        <f t="shared" si="322"/>
        <v>13284.268</v>
      </c>
      <c r="UG48" s="91">
        <f t="shared" si="323"/>
        <v>0</v>
      </c>
      <c r="UH48" s="95">
        <f t="shared" si="324"/>
        <v>41.890340137672631</v>
      </c>
      <c r="UI48" s="95">
        <f t="shared" si="325"/>
        <v>13693.358</v>
      </c>
      <c r="UJ48" s="101">
        <f t="shared" si="326"/>
        <v>0</v>
      </c>
      <c r="UK48" s="101">
        <f t="shared" si="327"/>
        <v>40.638863381794302</v>
      </c>
      <c r="UL48" s="90" t="e">
        <f>(#REF!+#REF!+HZ48+LT48+LZ48+MF48+ML48+QL48+QN48+SN48+TC48+TM48+UC48)/I48</f>
        <v>#REF!</v>
      </c>
      <c r="UN48" s="90" t="e">
        <f>#REF!/I48</f>
        <v>#REF!</v>
      </c>
      <c r="UO48" s="90" t="e">
        <f>#REF!/I48</f>
        <v>#REF!</v>
      </c>
      <c r="UP48" s="90">
        <v>1.1499999999999999</v>
      </c>
      <c r="UQ48" s="90" t="e">
        <f t="shared" si="328"/>
        <v>#REF!</v>
      </c>
      <c r="UR48" s="90">
        <f t="shared" si="329"/>
        <v>9121.2269916618006</v>
      </c>
      <c r="US48" s="90">
        <f t="shared" si="330"/>
        <v>10891.17</v>
      </c>
      <c r="UT48" s="90">
        <f t="shared" si="331"/>
        <v>10891.17</v>
      </c>
      <c r="UU48" s="90">
        <f t="shared" si="516"/>
        <v>11233.320000000002</v>
      </c>
      <c r="UV48" s="90">
        <f t="shared" si="333"/>
        <v>11128.480000000001</v>
      </c>
      <c r="UW48" s="90">
        <f t="shared" si="334"/>
        <v>7.42</v>
      </c>
      <c r="UX48" s="90">
        <f t="shared" si="335"/>
        <v>4.62</v>
      </c>
      <c r="UY48" s="90">
        <f t="shared" si="336"/>
        <v>4.4333691852648558</v>
      </c>
      <c r="UZ48" s="100">
        <f t="shared" si="337"/>
        <v>4.380411084191878</v>
      </c>
      <c r="VA48" s="90">
        <f t="shared" si="338"/>
        <v>0.57999999999999996</v>
      </c>
      <c r="VB48" s="90">
        <f t="shared" si="339"/>
        <v>1.42</v>
      </c>
      <c r="VC48" s="90">
        <f t="shared" si="340"/>
        <v>0.8</v>
      </c>
      <c r="VD48" s="90">
        <f t="shared" si="341"/>
        <v>0</v>
      </c>
      <c r="VE48" s="90">
        <f t="shared" si="342"/>
        <v>0</v>
      </c>
      <c r="VF48" s="90">
        <f t="shared" si="343"/>
        <v>0</v>
      </c>
      <c r="VG48" s="90">
        <f t="shared" si="344"/>
        <v>0</v>
      </c>
      <c r="VH48" s="90">
        <f t="shared" si="345"/>
        <v>0</v>
      </c>
      <c r="VI48" s="90">
        <f t="shared" si="346"/>
        <v>0</v>
      </c>
      <c r="VJ48" s="90">
        <f t="shared" si="347"/>
        <v>0</v>
      </c>
      <c r="VK48" s="90">
        <f t="shared" si="348"/>
        <v>0.99</v>
      </c>
      <c r="VL48" s="90">
        <f t="shared" si="349"/>
        <v>4.09</v>
      </c>
      <c r="VM48" s="90">
        <f t="shared" si="350"/>
        <v>7.16</v>
      </c>
      <c r="VN48" s="90">
        <f t="shared" si="351"/>
        <v>0</v>
      </c>
      <c r="VO48" s="90">
        <f t="shared" si="352"/>
        <v>7.16</v>
      </c>
      <c r="VP48" s="97">
        <v>0</v>
      </c>
      <c r="VQ48" s="97">
        <v>7.41</v>
      </c>
      <c r="VR48" s="90">
        <f t="shared" si="353"/>
        <v>0.56000000000000005</v>
      </c>
      <c r="VS48" s="90">
        <f t="shared" si="354"/>
        <v>0.19</v>
      </c>
      <c r="VT48" s="90">
        <v>0.11989898989898991</v>
      </c>
      <c r="VU48" s="90">
        <f t="shared" si="355"/>
        <v>0.19420000000000001</v>
      </c>
      <c r="VV48" s="90">
        <v>0.38175323599898991</v>
      </c>
      <c r="VW48" s="90">
        <f t="shared" si="356"/>
        <v>0.75</v>
      </c>
      <c r="VX48" s="90">
        <f t="shared" si="357"/>
        <v>19.420000000000002</v>
      </c>
      <c r="VY48" s="90">
        <f t="shared" si="358"/>
        <v>19.420000000000002</v>
      </c>
      <c r="VZ48" s="90">
        <f t="shared" si="359"/>
        <v>0</v>
      </c>
      <c r="WA48" s="90"/>
      <c r="WB48" s="90">
        <f t="shared" si="360"/>
        <v>19.420000000000002</v>
      </c>
      <c r="WC48" s="90">
        <f t="shared" si="361"/>
        <v>0</v>
      </c>
      <c r="WD48" s="90"/>
      <c r="WE48" s="90">
        <v>19.43</v>
      </c>
      <c r="WF48" s="90"/>
      <c r="WG48" s="90">
        <f t="shared" si="362"/>
        <v>14444.596000000003</v>
      </c>
      <c r="WH48" s="90">
        <f t="shared" si="363"/>
        <v>13849.556000000002</v>
      </c>
      <c r="WI48" s="90">
        <f t="shared" si="364"/>
        <v>13851.796991661802</v>
      </c>
      <c r="WJ48" s="90">
        <f t="shared" si="365"/>
        <v>9121.2269916618006</v>
      </c>
      <c r="WK48" s="97">
        <v>5499.7</v>
      </c>
      <c r="WL48" s="97">
        <v>7.41</v>
      </c>
      <c r="WM48" s="90">
        <f t="shared" si="366"/>
        <v>5511.56</v>
      </c>
      <c r="WN48" s="90">
        <f t="shared" si="367"/>
        <v>7.41</v>
      </c>
      <c r="WO48" s="90"/>
      <c r="WP48" s="97">
        <v>19.43</v>
      </c>
      <c r="WQ48" s="90">
        <f t="shared" si="368"/>
        <v>19.420000000000002</v>
      </c>
      <c r="WR48" s="91">
        <f t="shared" si="369"/>
        <v>105.48614883215643</v>
      </c>
      <c r="WS48" s="91">
        <f t="shared" si="370"/>
        <v>128.52415618795501</v>
      </c>
      <c r="WT48" s="90">
        <f t="shared" si="371"/>
        <v>14452.03</v>
      </c>
      <c r="WU48" s="90">
        <f t="shared" si="372"/>
        <v>14446.836991661801</v>
      </c>
      <c r="WV48" s="90">
        <f t="shared" si="373"/>
        <v>5.1930083381994336</v>
      </c>
      <c r="WW48" s="90">
        <v>3.3</v>
      </c>
      <c r="WX48" s="90"/>
      <c r="WY48" s="90"/>
      <c r="WZ48" s="90">
        <f t="shared" si="374"/>
        <v>7.1408373737373712</v>
      </c>
      <c r="XA48" s="90">
        <v>0</v>
      </c>
      <c r="XB48" s="90">
        <f t="shared" si="375"/>
        <v>7.1408373737373712</v>
      </c>
      <c r="XC48" s="90">
        <f t="shared" si="376"/>
        <v>0.58289999999999997</v>
      </c>
      <c r="XD48" s="90">
        <f t="shared" si="377"/>
        <v>0.19626262626262625</v>
      </c>
      <c r="XE48" s="90"/>
      <c r="XF48" s="90">
        <f t="shared" si="378"/>
        <v>19.43</v>
      </c>
      <c r="XG48" s="90">
        <v>7.4536222716248997</v>
      </c>
      <c r="XH48" s="20">
        <v>17.86</v>
      </c>
      <c r="XI48" s="20">
        <v>0</v>
      </c>
      <c r="XJ48" s="20"/>
      <c r="XK48" s="20"/>
      <c r="XL48" s="20">
        <v>0.55000000000000004</v>
      </c>
      <c r="XM48" s="20">
        <f t="shared" si="379"/>
        <v>18.41</v>
      </c>
      <c r="XN48" s="91">
        <f t="shared" si="380"/>
        <v>105.48614883215643</v>
      </c>
      <c r="XO48" s="20">
        <f t="shared" si="381"/>
        <v>18.41</v>
      </c>
      <c r="XP48" s="90">
        <f t="shared" si="382"/>
        <v>15.11</v>
      </c>
      <c r="XQ48" s="91">
        <f t="shared" si="383"/>
        <v>105.48614883215643</v>
      </c>
      <c r="XR48" s="102"/>
      <c r="XS48" s="90">
        <f t="shared" si="384"/>
        <v>4.09</v>
      </c>
      <c r="XT48" s="90">
        <f t="shared" si="385"/>
        <v>7.42</v>
      </c>
      <c r="XU48" s="90">
        <f t="shared" si="386"/>
        <v>4.62</v>
      </c>
      <c r="XV48" s="90">
        <f t="shared" si="387"/>
        <v>1.38</v>
      </c>
      <c r="XW48" s="90">
        <f t="shared" si="388"/>
        <v>0.57999999999999996</v>
      </c>
      <c r="XX48" s="90">
        <f t="shared" si="389"/>
        <v>0.8</v>
      </c>
      <c r="XY48" s="90">
        <f t="shared" si="390"/>
        <v>1.42</v>
      </c>
      <c r="XZ48" s="90">
        <f t="shared" si="391"/>
        <v>0</v>
      </c>
      <c r="YA48" s="90">
        <f t="shared" si="392"/>
        <v>0</v>
      </c>
      <c r="YB48" s="90">
        <f t="shared" si="552"/>
        <v>0</v>
      </c>
      <c r="YC48" s="90">
        <f t="shared" si="552"/>
        <v>0</v>
      </c>
      <c r="YD48" s="90">
        <f t="shared" si="394"/>
        <v>1.42</v>
      </c>
      <c r="YE48" s="90">
        <f t="shared" si="395"/>
        <v>7.16</v>
      </c>
      <c r="YF48" s="90">
        <f t="shared" si="396"/>
        <v>0.75</v>
      </c>
      <c r="YG48" s="90">
        <f t="shared" si="397"/>
        <v>19.420000000000002</v>
      </c>
      <c r="YI48" s="103" t="s">
        <v>442</v>
      </c>
      <c r="YK48" s="90">
        <f t="shared" si="398"/>
        <v>1.07</v>
      </c>
      <c r="YL48" s="90">
        <f t="shared" si="553"/>
        <v>0.57999999999999996</v>
      </c>
      <c r="YM48" s="90">
        <f t="shared" si="553"/>
        <v>1.42</v>
      </c>
      <c r="YN48" s="90">
        <f t="shared" si="400"/>
        <v>4.09</v>
      </c>
      <c r="YO48" s="90">
        <f t="shared" si="401"/>
        <v>12.26</v>
      </c>
      <c r="YP48" s="90">
        <f t="shared" si="402"/>
        <v>0</v>
      </c>
      <c r="YQ48" s="90">
        <f t="shared" si="403"/>
        <v>19.420000000000002</v>
      </c>
      <c r="YR48" s="90">
        <f t="shared" si="404"/>
        <v>0</v>
      </c>
      <c r="YS48" s="104">
        <f t="shared" si="405"/>
        <v>19.420000000000002</v>
      </c>
      <c r="YT48" s="104">
        <f t="shared" si="406"/>
        <v>0</v>
      </c>
      <c r="YY48" s="90">
        <f t="shared" si="407"/>
        <v>9.1900000000000013</v>
      </c>
      <c r="YZ48" s="90">
        <f t="shared" si="408"/>
        <v>4.9800000000000004</v>
      </c>
      <c r="ZA48" s="90">
        <f t="shared" si="409"/>
        <v>0.61</v>
      </c>
      <c r="ZB48" s="90">
        <f t="shared" si="410"/>
        <v>2.8</v>
      </c>
      <c r="ZC48" s="90">
        <f t="shared" si="411"/>
        <v>0.8</v>
      </c>
      <c r="ZD48" s="90">
        <f t="shared" si="412"/>
        <v>0</v>
      </c>
      <c r="ZE48" s="90">
        <f t="shared" si="413"/>
        <v>0</v>
      </c>
      <c r="ZF48" s="90">
        <f t="shared" si="414"/>
        <v>0</v>
      </c>
      <c r="ZG48" s="90">
        <f t="shared" si="415"/>
        <v>0</v>
      </c>
      <c r="ZH48" s="90">
        <f t="shared" si="416"/>
        <v>0</v>
      </c>
      <c r="ZI48" s="90">
        <f t="shared" si="417"/>
        <v>0</v>
      </c>
      <c r="ZJ48" s="90">
        <f t="shared" si="418"/>
        <v>0</v>
      </c>
      <c r="ZK48" s="90">
        <f t="shared" si="419"/>
        <v>0</v>
      </c>
      <c r="ZL48" s="90">
        <f t="shared" si="420"/>
        <v>0</v>
      </c>
      <c r="ZM48" s="90">
        <f t="shared" si="421"/>
        <v>4.6100000000000003</v>
      </c>
      <c r="ZN48" s="90">
        <f t="shared" si="422"/>
        <v>8.9600000000000009</v>
      </c>
      <c r="ZO48" s="90">
        <f t="shared" si="423"/>
        <v>8.58</v>
      </c>
      <c r="ZP48" s="90">
        <f t="shared" si="424"/>
        <v>6.16</v>
      </c>
      <c r="ZQ48" s="90">
        <f t="shared" si="425"/>
        <v>0</v>
      </c>
      <c r="ZR48" s="90">
        <f t="shared" si="426"/>
        <v>6.16</v>
      </c>
      <c r="ZS48" s="97">
        <v>227</v>
      </c>
      <c r="ZT48" s="97">
        <v>230.38</v>
      </c>
      <c r="ZU48" s="90">
        <f t="shared" si="427"/>
        <v>0.62</v>
      </c>
      <c r="ZV48" s="90">
        <f t="shared" si="428"/>
        <v>0.22</v>
      </c>
      <c r="ZW48" s="90">
        <v>0.11989898989898991</v>
      </c>
      <c r="ZX48" s="90">
        <f t="shared" si="429"/>
        <v>0.20800000000000002</v>
      </c>
      <c r="ZY48" s="90">
        <v>0.38175323599898991</v>
      </c>
      <c r="ZZ48" s="90">
        <f t="shared" si="430"/>
        <v>0.84</v>
      </c>
      <c r="AAA48" s="90">
        <f t="shared" si="431"/>
        <v>20.8</v>
      </c>
      <c r="AAB48" s="90">
        <f t="shared" si="432"/>
        <v>20.8</v>
      </c>
      <c r="AAC48" s="90">
        <f t="shared" si="433"/>
        <v>0</v>
      </c>
      <c r="AAD48" s="90"/>
      <c r="AAE48" s="90">
        <f t="shared" si="434"/>
        <v>20.8</v>
      </c>
      <c r="AAF48" s="90">
        <v>19.43</v>
      </c>
      <c r="AAG48" s="90">
        <f t="shared" si="435"/>
        <v>107.1060762100927</v>
      </c>
      <c r="AAH48" s="90">
        <f t="shared" si="436"/>
        <v>0</v>
      </c>
      <c r="AAI48" s="90">
        <v>0</v>
      </c>
      <c r="AAJ48" s="90"/>
      <c r="AAK48" s="1">
        <v>20.68</v>
      </c>
      <c r="AAL48" s="104">
        <f t="shared" si="437"/>
        <v>0.12000000000000099</v>
      </c>
      <c r="AAM48" s="103" t="s">
        <v>542</v>
      </c>
      <c r="AAN48" s="105">
        <v>9.32</v>
      </c>
      <c r="AAO48" s="90">
        <f t="shared" si="438"/>
        <v>9.9700000000000024</v>
      </c>
      <c r="AAP48" s="90">
        <v>4.97</v>
      </c>
      <c r="AAQ48" s="90">
        <f t="shared" si="439"/>
        <v>4.9800000000000004</v>
      </c>
      <c r="AAR48" s="90">
        <v>0.61</v>
      </c>
      <c r="AAS48" s="90">
        <f t="shared" si="440"/>
        <v>0.93</v>
      </c>
      <c r="AAT48" s="90">
        <f t="shared" si="441"/>
        <v>152.45901639344262</v>
      </c>
      <c r="AAU48" s="90">
        <v>2.94</v>
      </c>
      <c r="AAV48" s="90">
        <f t="shared" si="442"/>
        <v>2.8</v>
      </c>
      <c r="AAW48" s="90">
        <f t="shared" si="443"/>
        <v>95.238095238095227</v>
      </c>
      <c r="AAX48" s="90">
        <f t="shared" si="444"/>
        <v>0.46</v>
      </c>
      <c r="AAY48" s="90">
        <f t="shared" si="445"/>
        <v>0.8</v>
      </c>
      <c r="AAZ48" s="90">
        <f t="shared" si="446"/>
        <v>0</v>
      </c>
      <c r="ABA48" s="90">
        <f t="shared" si="447"/>
        <v>0</v>
      </c>
      <c r="ABB48" s="90">
        <f t="shared" si="448"/>
        <v>0</v>
      </c>
      <c r="ABC48" s="90">
        <v>0</v>
      </c>
      <c r="ABD48" s="90">
        <f t="shared" si="449"/>
        <v>0</v>
      </c>
      <c r="ABE48" s="90"/>
      <c r="ABF48" s="90">
        <v>0</v>
      </c>
      <c r="ABG48" s="90">
        <f t="shared" si="450"/>
        <v>0</v>
      </c>
      <c r="ABH48" s="90"/>
      <c r="ABI48" s="90">
        <f t="shared" si="451"/>
        <v>0</v>
      </c>
      <c r="ABJ48" s="90">
        <f t="shared" si="452"/>
        <v>0</v>
      </c>
      <c r="ABK48" s="90">
        <v>0</v>
      </c>
      <c r="ABL48" s="90">
        <f t="shared" si="453"/>
        <v>0</v>
      </c>
      <c r="ABM48" s="90">
        <f t="shared" si="454"/>
        <v>0</v>
      </c>
      <c r="ABN48" s="90">
        <f t="shared" si="455"/>
        <v>0</v>
      </c>
      <c r="ABO48" s="90">
        <v>4.3899999999999997</v>
      </c>
      <c r="ABP48" s="90">
        <f t="shared" si="456"/>
        <v>4.6100000000000003</v>
      </c>
      <c r="ABQ48" s="90">
        <f t="shared" si="457"/>
        <v>105.01138952164011</v>
      </c>
      <c r="ABR48" s="90">
        <f t="shared" si="458"/>
        <v>8.9600000000000009</v>
      </c>
      <c r="ABS48" s="90">
        <f t="shared" si="459"/>
        <v>8.58</v>
      </c>
      <c r="ABT48" s="90">
        <v>6.16</v>
      </c>
      <c r="ABU48" s="90">
        <f t="shared" si="460"/>
        <v>6.16</v>
      </c>
      <c r="ABV48" s="90">
        <f t="shared" si="461"/>
        <v>100</v>
      </c>
      <c r="ABW48" s="90">
        <f t="shared" si="462"/>
        <v>0</v>
      </c>
      <c r="ABX48" s="90">
        <f t="shared" si="463"/>
        <v>6.16</v>
      </c>
      <c r="ABY48" s="97">
        <v>227</v>
      </c>
      <c r="ABZ48" s="97">
        <v>230.38</v>
      </c>
      <c r="ACA48" s="90">
        <f t="shared" si="464"/>
        <v>0.62</v>
      </c>
      <c r="ACB48" s="90">
        <f t="shared" si="465"/>
        <v>0.22</v>
      </c>
      <c r="ACC48" s="90">
        <v>0.11989898989898991</v>
      </c>
      <c r="ACD48" s="90">
        <f t="shared" si="466"/>
        <v>0.21120000000000003</v>
      </c>
      <c r="ACE48" s="90">
        <v>0.38175323599898991</v>
      </c>
      <c r="ACF48" s="90">
        <v>0.80999999999999994</v>
      </c>
      <c r="ACG48" s="90">
        <f t="shared" si="467"/>
        <v>0.84</v>
      </c>
      <c r="ACH48" s="90">
        <f t="shared" si="468"/>
        <v>103.7037037037037</v>
      </c>
      <c r="ACI48" s="90">
        <f t="shared" si="469"/>
        <v>21.580000000000002</v>
      </c>
      <c r="ACJ48" s="90">
        <f t="shared" si="470"/>
        <v>21.12</v>
      </c>
      <c r="ACK48" s="90">
        <f t="shared" si="471"/>
        <v>-0.46000000000000085</v>
      </c>
      <c r="ACL48" s="90"/>
      <c r="ACM48" s="90">
        <f t="shared" si="472"/>
        <v>21.580000000000002</v>
      </c>
      <c r="ACN48" s="90">
        <f t="shared" si="473"/>
        <v>0</v>
      </c>
      <c r="ACO48" s="90">
        <f t="shared" si="474"/>
        <v>21.580000000000002</v>
      </c>
      <c r="ACP48" s="90">
        <v>20.68</v>
      </c>
      <c r="ACQ48" s="90">
        <f t="shared" si="475"/>
        <v>104.35203094777563</v>
      </c>
      <c r="ACR48" s="90">
        <f t="shared" si="476"/>
        <v>0</v>
      </c>
      <c r="ACS48" s="90">
        <v>0</v>
      </c>
      <c r="ACT48" s="90"/>
      <c r="ACU48" s="90">
        <f t="shared" si="477"/>
        <v>21.734679999999997</v>
      </c>
      <c r="ACV48" s="90">
        <f t="shared" si="478"/>
        <v>0.15467999999999549</v>
      </c>
      <c r="ACX48" s="106" t="s">
        <v>543</v>
      </c>
      <c r="ACY48" s="107">
        <v>12500</v>
      </c>
      <c r="ACZ48" s="107">
        <v>25000</v>
      </c>
      <c r="ADB48" s="90">
        <f t="shared" si="479"/>
        <v>4.6100000000000003</v>
      </c>
      <c r="ADC48" s="90">
        <f t="shared" si="480"/>
        <v>9.9700000000000006</v>
      </c>
      <c r="ADD48" s="90">
        <f t="shared" si="481"/>
        <v>4.9800000000000004</v>
      </c>
      <c r="ADE48" s="90">
        <f t="shared" si="517"/>
        <v>2.1900000000000004</v>
      </c>
      <c r="ADF48" s="90">
        <f t="shared" si="483"/>
        <v>0.93</v>
      </c>
      <c r="ADG48" s="90">
        <f t="shared" si="554"/>
        <v>0.46</v>
      </c>
      <c r="ADH48" s="90">
        <f t="shared" si="554"/>
        <v>0.8</v>
      </c>
      <c r="ADI48" s="90">
        <f t="shared" si="554"/>
        <v>0</v>
      </c>
      <c r="ADJ48" s="90">
        <f t="shared" si="485"/>
        <v>2.8</v>
      </c>
      <c r="ADK48" s="90">
        <f t="shared" si="486"/>
        <v>0</v>
      </c>
      <c r="ADL48" s="90">
        <f t="shared" si="487"/>
        <v>0</v>
      </c>
      <c r="ADM48" s="90">
        <f t="shared" si="555"/>
        <v>0</v>
      </c>
      <c r="ADN48" s="90">
        <f t="shared" si="555"/>
        <v>0</v>
      </c>
      <c r="ADO48" s="90">
        <f t="shared" si="489"/>
        <v>2.8</v>
      </c>
      <c r="ADP48" s="90">
        <f t="shared" si="490"/>
        <v>6.16</v>
      </c>
      <c r="ADQ48" s="90">
        <f t="shared" si="491"/>
        <v>0.84</v>
      </c>
      <c r="ADR48" s="90">
        <f t="shared" si="492"/>
        <v>21.580000000000002</v>
      </c>
      <c r="ADU48" s="90">
        <f t="shared" si="493"/>
        <v>1.1499999999999999</v>
      </c>
      <c r="ADV48" s="90">
        <f t="shared" si="494"/>
        <v>0.93</v>
      </c>
      <c r="ADW48" s="90">
        <f t="shared" si="495"/>
        <v>2.8</v>
      </c>
      <c r="ADX48" s="90">
        <f t="shared" si="496"/>
        <v>4.6100000000000003</v>
      </c>
      <c r="ADY48" s="90">
        <f t="shared" si="497"/>
        <v>11.63</v>
      </c>
      <c r="ADZ48" s="90">
        <f t="shared" si="498"/>
        <v>0</v>
      </c>
      <c r="AEA48" s="90">
        <f t="shared" si="499"/>
        <v>21.580000000000002</v>
      </c>
      <c r="AEB48" s="90">
        <f t="shared" si="500"/>
        <v>0</v>
      </c>
      <c r="AEC48" s="104">
        <f t="shared" si="501"/>
        <v>21.12</v>
      </c>
      <c r="AED48" s="104">
        <f t="shared" si="502"/>
        <v>0.46000000000000085</v>
      </c>
      <c r="AEG48" s="1">
        <v>9.32</v>
      </c>
      <c r="AEH48" s="1">
        <v>4.97</v>
      </c>
      <c r="AEI48" s="1">
        <v>0.61</v>
      </c>
      <c r="AEJ48" s="1">
        <v>2.94</v>
      </c>
      <c r="AEK48" s="1">
        <v>0</v>
      </c>
      <c r="AEL48" s="1">
        <v>0.8</v>
      </c>
      <c r="AEM48" s="1">
        <v>0</v>
      </c>
      <c r="AEN48" s="1">
        <v>0</v>
      </c>
      <c r="AEO48" s="1">
        <v>0</v>
      </c>
      <c r="AEP48" s="1">
        <v>0</v>
      </c>
      <c r="AEQ48" s="1">
        <v>0</v>
      </c>
      <c r="AER48" s="1">
        <v>0</v>
      </c>
      <c r="AES48" s="1">
        <v>0</v>
      </c>
      <c r="AET48" s="1">
        <v>0</v>
      </c>
      <c r="AEU48" s="1">
        <v>0</v>
      </c>
      <c r="AEV48" s="1">
        <v>0</v>
      </c>
      <c r="AEW48" s="1">
        <v>4.3899999999999997</v>
      </c>
      <c r="AEX48" s="1">
        <v>9.1</v>
      </c>
      <c r="AEY48" s="1">
        <v>8.58</v>
      </c>
      <c r="AEZ48" s="1">
        <v>6.16</v>
      </c>
      <c r="AFA48" s="1">
        <v>0</v>
      </c>
      <c r="AFB48" s="1">
        <v>6.16</v>
      </c>
      <c r="AFC48" s="1">
        <v>227</v>
      </c>
      <c r="AFD48" s="1">
        <v>230.38</v>
      </c>
      <c r="AFE48" s="1">
        <v>0.6</v>
      </c>
      <c r="AFF48" s="1">
        <v>0.21</v>
      </c>
      <c r="AFG48" s="1">
        <v>0.11989898989898991</v>
      </c>
      <c r="AFH48" s="1">
        <v>0.20680000000000001</v>
      </c>
      <c r="AFI48" s="1">
        <v>0.38175323599898991</v>
      </c>
      <c r="AFJ48" s="1">
        <v>0.80999999999999994</v>
      </c>
      <c r="AFK48" s="1">
        <v>20.68</v>
      </c>
      <c r="AFL48" s="1">
        <v>20.68</v>
      </c>
      <c r="AFM48" s="1">
        <v>0</v>
      </c>
      <c r="AFO48" s="1">
        <v>20.68</v>
      </c>
      <c r="AFP48" s="1">
        <v>0</v>
      </c>
      <c r="AFQ48" s="1">
        <v>20.67</v>
      </c>
      <c r="AFX48" s="1">
        <v>21.29</v>
      </c>
    </row>
    <row r="49" spans="1:856" s="1" customFormat="1" ht="63.75" customHeight="1">
      <c r="A49" s="88">
        <v>41</v>
      </c>
      <c r="B49" s="20"/>
      <c r="C49" s="89" t="s">
        <v>544</v>
      </c>
      <c r="D49" s="20"/>
      <c r="E49" s="20" t="s">
        <v>536</v>
      </c>
      <c r="F49" s="20" t="s">
        <v>537</v>
      </c>
      <c r="G49" s="20">
        <v>1.2</v>
      </c>
      <c r="H49" s="20">
        <v>1400</v>
      </c>
      <c r="I49" s="20">
        <f>1400+1.8</f>
        <v>1401.8</v>
      </c>
      <c r="J49" s="20">
        <f t="shared" si="0"/>
        <v>1682.1599999999999</v>
      </c>
      <c r="K49" s="20">
        <v>27</v>
      </c>
      <c r="L49" s="20">
        <v>50</v>
      </c>
      <c r="M49" s="20">
        <v>64</v>
      </c>
      <c r="N49" s="20">
        <v>1578.46</v>
      </c>
      <c r="O49" s="90">
        <f t="shared" si="1"/>
        <v>1.1299999999999999</v>
      </c>
      <c r="P49" s="20">
        <v>5132</v>
      </c>
      <c r="Q49" s="90">
        <f>P49/12</f>
        <v>427.66666666666669</v>
      </c>
      <c r="R49" s="90">
        <f t="shared" si="2"/>
        <v>0.31</v>
      </c>
      <c r="S49" s="20">
        <v>153.30000000000001</v>
      </c>
      <c r="T49" s="20">
        <v>2.6</v>
      </c>
      <c r="U49" s="20">
        <v>3.13</v>
      </c>
      <c r="V49" s="91">
        <f t="shared" si="3"/>
        <v>1247.56</v>
      </c>
      <c r="W49" s="20">
        <v>2.1000000000000001E-2</v>
      </c>
      <c r="X49" s="20">
        <f t="shared" si="4"/>
        <v>33.42</v>
      </c>
      <c r="Y49" s="91">
        <f t="shared" si="5"/>
        <v>107.59</v>
      </c>
      <c r="Z49" s="20">
        <v>1.7999999999999999E-2</v>
      </c>
      <c r="AA49" s="20">
        <f t="shared" si="561"/>
        <v>171.12</v>
      </c>
      <c r="AB49" s="91">
        <f t="shared" si="562"/>
        <v>472.19</v>
      </c>
      <c r="AC49" s="91">
        <f t="shared" si="6"/>
        <v>1827.33</v>
      </c>
      <c r="AD49" s="90">
        <f t="shared" si="7"/>
        <v>1.3</v>
      </c>
      <c r="AE49" s="92">
        <f t="shared" si="8"/>
        <v>21927.96</v>
      </c>
      <c r="AF49" s="20">
        <v>59</v>
      </c>
      <c r="AG49" s="20">
        <v>54</v>
      </c>
      <c r="AH49" s="20">
        <v>54</v>
      </c>
      <c r="AI49" s="20">
        <v>51</v>
      </c>
      <c r="AJ49" s="20">
        <v>1.6</v>
      </c>
      <c r="AK49" s="90">
        <f t="shared" si="9"/>
        <v>7.2</v>
      </c>
      <c r="AL49" s="90">
        <v>391.01</v>
      </c>
      <c r="AM49" s="90">
        <f t="shared" si="10"/>
        <v>2815.27</v>
      </c>
      <c r="AN49" s="20">
        <v>62</v>
      </c>
      <c r="AO49" s="20">
        <v>57</v>
      </c>
      <c r="AP49" s="20">
        <v>59</v>
      </c>
      <c r="AQ49" s="20">
        <v>62</v>
      </c>
      <c r="AR49" s="20">
        <v>57</v>
      </c>
      <c r="AS49" s="20">
        <v>58</v>
      </c>
      <c r="AT49" s="20">
        <f t="shared" si="11"/>
        <v>5</v>
      </c>
      <c r="AU49" s="20">
        <v>1.6</v>
      </c>
      <c r="AV49" s="90">
        <f t="shared" si="12"/>
        <v>7.87</v>
      </c>
      <c r="AW49" s="90">
        <f t="shared" si="551"/>
        <v>188.88</v>
      </c>
      <c r="AX49" s="90">
        <v>1460.67</v>
      </c>
      <c r="AY49" s="90">
        <f t="shared" si="14"/>
        <v>1.04</v>
      </c>
      <c r="AZ49" s="90">
        <f t="shared" si="15"/>
        <v>3075.95</v>
      </c>
      <c r="BA49" s="90">
        <f t="shared" si="16"/>
        <v>-1615.2799999999997</v>
      </c>
      <c r="BB49" s="90">
        <v>1460.67</v>
      </c>
      <c r="BC49" s="90">
        <v>1.04</v>
      </c>
      <c r="BD49" s="92">
        <f t="shared" si="17"/>
        <v>17528.04</v>
      </c>
      <c r="BE49" s="90"/>
      <c r="BF49" s="90">
        <f t="shared" si="18"/>
        <v>0</v>
      </c>
      <c r="BG49" s="90">
        <v>391.01</v>
      </c>
      <c r="BH49" s="90">
        <f t="shared" si="19"/>
        <v>3077.25</v>
      </c>
      <c r="BI49" s="90">
        <f t="shared" si="20"/>
        <v>2.2000000000000002</v>
      </c>
      <c r="BJ49" s="90">
        <f t="shared" si="21"/>
        <v>211.53846153846155</v>
      </c>
      <c r="BK49" s="90">
        <f t="shared" si="22"/>
        <v>3077.25</v>
      </c>
      <c r="BL49" s="90">
        <f t="shared" si="23"/>
        <v>2.2000000000000002</v>
      </c>
      <c r="BM49" s="90"/>
      <c r="BN49" s="90">
        <f t="shared" si="24"/>
        <v>0</v>
      </c>
      <c r="BO49" s="90">
        <f t="shared" si="25"/>
        <v>3077.25</v>
      </c>
      <c r="BP49" s="90">
        <f t="shared" si="26"/>
        <v>2.1952132971893281</v>
      </c>
      <c r="BQ49" s="90"/>
      <c r="BR49" s="90">
        <f t="shared" si="27"/>
        <v>0</v>
      </c>
      <c r="BS49" s="90">
        <f t="shared" si="28"/>
        <v>3077.25</v>
      </c>
      <c r="BT49" s="90">
        <f t="shared" si="29"/>
        <v>2.1952132971893281</v>
      </c>
      <c r="BU49" s="90"/>
      <c r="BV49" s="93">
        <v>1.7027650000000001</v>
      </c>
      <c r="BW49" s="90">
        <f t="shared" si="30"/>
        <v>2386.9359770000001</v>
      </c>
      <c r="BX49" s="90">
        <f t="shared" si="31"/>
        <v>2530.1521356200001</v>
      </c>
      <c r="BY49" s="90"/>
      <c r="BZ49" s="90">
        <v>3269.6536599999999</v>
      </c>
      <c r="CA49" s="90">
        <v>0.37305430897000003</v>
      </c>
      <c r="CB49" s="90">
        <f t="shared" si="556"/>
        <v>522.94753031414598</v>
      </c>
      <c r="CC49" s="90">
        <v>0.37305430897000003</v>
      </c>
      <c r="CD49" s="90">
        <f t="shared" si="563"/>
        <v>522.94753031414598</v>
      </c>
      <c r="CE49" s="90">
        <f t="shared" si="564"/>
        <v>522.94753031414598</v>
      </c>
      <c r="CF49" s="90">
        <v>506.51144699114604</v>
      </c>
      <c r="CG49" s="90">
        <f>I49*0.361793891</f>
        <v>507.16267640379994</v>
      </c>
      <c r="CH49" s="90">
        <f t="shared" si="565"/>
        <v>507.16</v>
      </c>
      <c r="CI49" s="90">
        <f>CH49/($SP49-$HL49)*($SX49-$HN49)</f>
        <v>534.18079591590538</v>
      </c>
      <c r="CJ49" s="90">
        <f t="shared" si="36"/>
        <v>535.04999999999995</v>
      </c>
      <c r="CK49" s="90">
        <f t="shared" si="37"/>
        <v>576.31247312510709</v>
      </c>
      <c r="CL49" s="90">
        <f t="shared" si="38"/>
        <v>576.31247312510709</v>
      </c>
      <c r="CM49" s="94">
        <v>0.14899999999999999</v>
      </c>
      <c r="CN49" s="90">
        <f t="shared" si="39"/>
        <v>355.65346057300002</v>
      </c>
      <c r="CO49" s="90">
        <f t="shared" si="40"/>
        <v>376.99266820738006</v>
      </c>
      <c r="CP49" s="90">
        <v>487.17899999999997</v>
      </c>
      <c r="CQ49" s="90">
        <v>5.0232736819999999E-2</v>
      </c>
      <c r="CR49" s="90">
        <f t="shared" si="557"/>
        <v>70.416250474275998</v>
      </c>
      <c r="CS49" s="90">
        <v>5.0232736819999999E-2</v>
      </c>
      <c r="CT49" s="90">
        <f t="shared" si="566"/>
        <v>70.416250474275998</v>
      </c>
      <c r="CU49" s="90">
        <f t="shared" si="567"/>
        <v>70.416250474275998</v>
      </c>
      <c r="CV49" s="90">
        <f>I49*0.103779163</f>
        <v>145.47763069339999</v>
      </c>
      <c r="CW49" s="90">
        <f t="shared" si="568"/>
        <v>145.47999999999999</v>
      </c>
      <c r="CX49" s="90">
        <f>CW49/($SP49-$HL49)*($SX49-$HN49)</f>
        <v>153.23097679202994</v>
      </c>
      <c r="CY49" s="90">
        <f t="shared" si="45"/>
        <v>153.47999999999999</v>
      </c>
      <c r="CZ49" s="90">
        <f t="shared" si="46"/>
        <v>165.31654426658366</v>
      </c>
      <c r="DA49" s="90">
        <f t="shared" si="47"/>
        <v>165.31654426658366</v>
      </c>
      <c r="DB49" s="93">
        <v>1.1979820000000001</v>
      </c>
      <c r="DC49" s="90">
        <f t="shared" si="48"/>
        <v>1679.3311676000001</v>
      </c>
      <c r="DD49" s="90">
        <f t="shared" si="49"/>
        <v>1780.0910376560003</v>
      </c>
      <c r="DE49" s="90"/>
      <c r="DF49" s="90">
        <v>948.59032400116109</v>
      </c>
      <c r="DG49" s="90">
        <v>0.28219173505</v>
      </c>
      <c r="DH49" s="90">
        <f t="shared" si="558"/>
        <v>395.57637419308998</v>
      </c>
      <c r="DI49" s="90">
        <v>0.28219173505</v>
      </c>
      <c r="DJ49" s="90">
        <f t="shared" si="569"/>
        <v>395.57637419308998</v>
      </c>
      <c r="DK49" s="90">
        <f t="shared" si="570"/>
        <v>395.57637419308998</v>
      </c>
      <c r="DL49" s="90">
        <f>I49*0.228495796</f>
        <v>320.30540683279997</v>
      </c>
      <c r="DM49" s="90">
        <f t="shared" si="571"/>
        <v>320.31</v>
      </c>
      <c r="DN49" s="90">
        <f>DM49/($SP49-$HL49)*($SX49-$HN49)</f>
        <v>337.37568171745335</v>
      </c>
      <c r="DO49" s="90">
        <f t="shared" si="54"/>
        <v>337.93</v>
      </c>
      <c r="DP49" s="90">
        <f t="shared" si="55"/>
        <v>363.98503089104628</v>
      </c>
      <c r="DQ49" s="90">
        <f t="shared" si="56"/>
        <v>363.98503089104628</v>
      </c>
      <c r="DR49" s="93">
        <v>4.2594E-2</v>
      </c>
      <c r="DS49" s="90">
        <f t="shared" si="57"/>
        <v>59.708269199999997</v>
      </c>
      <c r="DT49" s="90">
        <f t="shared" si="58"/>
        <v>63.290765352000001</v>
      </c>
      <c r="DU49" s="90">
        <v>35.878763725378747</v>
      </c>
      <c r="DV49" s="90">
        <v>1.366632888E-2</v>
      </c>
      <c r="DW49" s="90">
        <f t="shared" si="559"/>
        <v>19.157459823983999</v>
      </c>
      <c r="DX49" s="90">
        <v>1.366632888E-2</v>
      </c>
      <c r="DY49" s="90">
        <f t="shared" si="572"/>
        <v>19.157459823983999</v>
      </c>
      <c r="DZ49" s="90">
        <f t="shared" si="573"/>
        <v>19.157459823983999</v>
      </c>
      <c r="EA49" s="90">
        <f t="shared" si="574"/>
        <v>19.16</v>
      </c>
      <c r="EB49" s="90">
        <f>EA49/($SP49-$HL49)*($SX49-$HN49)</f>
        <v>20.180818774644582</v>
      </c>
      <c r="EC49" s="90">
        <f t="shared" si="63"/>
        <v>20.21</v>
      </c>
      <c r="ED49" s="90">
        <f t="shared" si="64"/>
        <v>21.772511603985034</v>
      </c>
      <c r="EE49" s="90">
        <f t="shared" si="65"/>
        <v>21.772511603985034</v>
      </c>
      <c r="EF49" s="94">
        <v>0.85293354333000004</v>
      </c>
      <c r="EG49" s="90">
        <f t="shared" si="66"/>
        <v>1434.7706892479928</v>
      </c>
      <c r="EH49" s="90">
        <f t="shared" si="67"/>
        <v>1520.8569306028724</v>
      </c>
      <c r="EI49" s="90">
        <v>1226.5904614003207</v>
      </c>
      <c r="EJ49" s="90">
        <v>0.13912706999999999</v>
      </c>
      <c r="EK49" s="90">
        <f t="shared" ref="EK49:EK54" si="595">$J49*EJ49</f>
        <v>234.03399207119998</v>
      </c>
      <c r="EL49" s="90">
        <v>0.16695248382</v>
      </c>
      <c r="EM49" s="90">
        <f t="shared" si="575"/>
        <v>234.03399181887599</v>
      </c>
      <c r="EN49" s="90">
        <f t="shared" si="576"/>
        <v>234.03399181887599</v>
      </c>
      <c r="EO49" s="90">
        <f>J49*0.135381707</f>
        <v>227.73369224711996</v>
      </c>
      <c r="EP49" s="90">
        <f t="shared" si="577"/>
        <v>227.73</v>
      </c>
      <c r="EQ49" s="90">
        <f>EP49/($SP49-$HL49)*($SX49-$HN49)</f>
        <v>239.86314507044941</v>
      </c>
      <c r="ER49" s="90">
        <f t="shared" si="72"/>
        <v>240.26</v>
      </c>
      <c r="ES49" s="90">
        <f t="shared" si="73"/>
        <v>258.78152753525637</v>
      </c>
      <c r="ET49" s="90">
        <f t="shared" si="74"/>
        <v>258.78152753525637</v>
      </c>
      <c r="EU49" s="94">
        <v>0.14899999999999999</v>
      </c>
      <c r="EV49" s="90">
        <f t="shared" si="75"/>
        <v>213.78083269795093</v>
      </c>
      <c r="EW49" s="90">
        <f t="shared" si="76"/>
        <v>226.60768265982799</v>
      </c>
      <c r="EX49" s="90">
        <v>182.78636018791559</v>
      </c>
      <c r="EY49" s="90">
        <v>2.0730999999999999E-2</v>
      </c>
      <c r="EZ49" s="90">
        <f t="shared" ref="EZ49:EZ54" si="596">$J49*EY49</f>
        <v>34.872858959999995</v>
      </c>
      <c r="FA49" s="90">
        <v>2.4876671749999999E-2</v>
      </c>
      <c r="FB49" s="90">
        <f t="shared" si="578"/>
        <v>34.872118459149995</v>
      </c>
      <c r="FC49" s="90">
        <f t="shared" si="579"/>
        <v>34.872118459149995</v>
      </c>
      <c r="FD49" s="90">
        <f>J49*0.041845299</f>
        <v>70.390488165839997</v>
      </c>
      <c r="FE49" s="90">
        <f t="shared" si="580"/>
        <v>70.39</v>
      </c>
      <c r="FF49" s="90">
        <f>FE49/($SP49-$HL49)*($SX49-$HN49)</f>
        <v>74.140283588060129</v>
      </c>
      <c r="FG49" s="90">
        <f t="shared" si="81"/>
        <v>74.260000000000005</v>
      </c>
      <c r="FH49" s="90">
        <f t="shared" si="82"/>
        <v>79.987844039901177</v>
      </c>
      <c r="FI49" s="90">
        <f t="shared" si="83"/>
        <v>79.987844039901177</v>
      </c>
      <c r="FJ49" s="93">
        <v>0.49981642240000002</v>
      </c>
      <c r="FK49" s="90">
        <f t="shared" si="84"/>
        <v>840.771193104384</v>
      </c>
      <c r="FL49" s="90">
        <f t="shared" si="85"/>
        <v>891.21746469064703</v>
      </c>
      <c r="FM49" s="90">
        <v>676.61327463105908</v>
      </c>
      <c r="FN49" s="90">
        <v>8.9680701000000002E-2</v>
      </c>
      <c r="FO49" s="90">
        <f t="shared" ref="FO49:FO54" si="597">$J49*FN49</f>
        <v>150.85728799416</v>
      </c>
      <c r="FP49" s="90">
        <v>0.10761684168000001</v>
      </c>
      <c r="FQ49" s="90">
        <f t="shared" si="581"/>
        <v>150.85728866702399</v>
      </c>
      <c r="FR49" s="90">
        <f t="shared" si="582"/>
        <v>150.85728866702399</v>
      </c>
      <c r="FS49" s="90">
        <f>J49*0.069578257</f>
        <v>117.04176079512</v>
      </c>
      <c r="FT49" s="90">
        <f t="shared" si="89"/>
        <v>122.66</v>
      </c>
      <c r="FU49" s="90">
        <f>J49*0.0818196</f>
        <v>137.633658336</v>
      </c>
      <c r="FV49" s="90">
        <f t="shared" si="583"/>
        <v>137.63</v>
      </c>
      <c r="FW49" s="90">
        <f>FV49/($SP49-$HL49)*($SX49-$HN49)</f>
        <v>144.96273945481911</v>
      </c>
      <c r="FX49" s="90">
        <f t="shared" si="91"/>
        <v>145.19999999999999</v>
      </c>
      <c r="FY49" s="90">
        <f t="shared" si="92"/>
        <v>156.39617808227877</v>
      </c>
      <c r="FZ49" s="90">
        <f t="shared" si="93"/>
        <v>156.39617808227877</v>
      </c>
      <c r="GA49" s="94">
        <v>1.352261642E-2</v>
      </c>
      <c r="GB49" s="90">
        <f t="shared" si="94"/>
        <v>22.747204437067197</v>
      </c>
      <c r="GC49" s="90">
        <f t="shared" si="95"/>
        <v>24.112036703291231</v>
      </c>
      <c r="GD49" s="90">
        <v>19.749908927550891</v>
      </c>
      <c r="GE49" s="90">
        <v>2.4269999999999999E-3</v>
      </c>
      <c r="GF49" s="90">
        <f t="shared" ref="GF49:GF54" si="598">$J49*GE49</f>
        <v>4.0826023199999995</v>
      </c>
      <c r="GG49" s="90">
        <v>2.9119942899999999E-3</v>
      </c>
      <c r="GH49" s="90">
        <f t="shared" si="584"/>
        <v>4.0820335957219998</v>
      </c>
      <c r="GI49" s="90">
        <f t="shared" si="585"/>
        <v>4.0820335957219998</v>
      </c>
      <c r="GJ49" s="90">
        <f t="shared" si="586"/>
        <v>4.08</v>
      </c>
      <c r="GK49" s="90">
        <f>GJ49/($SP49-$HL49)*($SX49-$HN49)</f>
        <v>4.2973768580662783</v>
      </c>
      <c r="GL49" s="90">
        <f t="shared" si="100"/>
        <v>4.3</v>
      </c>
      <c r="GM49" s="90">
        <f t="shared" si="101"/>
        <v>4.6363177110782336</v>
      </c>
      <c r="GN49" s="90">
        <f t="shared" si="102"/>
        <v>4.6363177110782336</v>
      </c>
      <c r="GO49" s="90">
        <v>5443.2</v>
      </c>
      <c r="GP49" s="90">
        <f t="shared" si="103"/>
        <v>453.59999999999997</v>
      </c>
      <c r="GQ49" s="90">
        <f>3572.1+831.6</f>
        <v>4403.7</v>
      </c>
      <c r="GR49" s="90">
        <f t="shared" si="104"/>
        <v>366.97499999999997</v>
      </c>
      <c r="GS49" s="90">
        <f t="shared" si="105"/>
        <v>820.57499999999993</v>
      </c>
      <c r="GT49" s="90">
        <f t="shared" si="106"/>
        <v>0.59</v>
      </c>
      <c r="GU49" s="90">
        <v>6217.56</v>
      </c>
      <c r="GV49" s="90">
        <f>3385.8+793.44</f>
        <v>4179.24</v>
      </c>
      <c r="GW49" s="90">
        <f t="shared" si="107"/>
        <v>866.4</v>
      </c>
      <c r="GX49" s="90">
        <f t="shared" si="108"/>
        <v>0.62</v>
      </c>
      <c r="GY49" s="90">
        <v>11111.58</v>
      </c>
      <c r="GZ49" s="90">
        <f>3601.26+848.16</f>
        <v>4449.42</v>
      </c>
      <c r="HA49" s="90">
        <f t="shared" si="109"/>
        <v>1296.75</v>
      </c>
      <c r="HB49" s="90">
        <f t="shared" si="110"/>
        <v>0.93</v>
      </c>
      <c r="HC49" s="90">
        <v>11111.58</v>
      </c>
      <c r="HD49" s="90">
        <f>3601.26+848.16</f>
        <v>4449.42</v>
      </c>
      <c r="HE49" s="90">
        <f t="shared" si="111"/>
        <v>1296.75</v>
      </c>
      <c r="HF49" s="90">
        <f t="shared" si="112"/>
        <v>0.93</v>
      </c>
      <c r="HG49" s="90"/>
      <c r="HH49" s="90"/>
      <c r="HI49" s="90">
        <v>0.96</v>
      </c>
      <c r="HJ49" s="90">
        <f t="shared" si="113"/>
        <v>1345.7279999999998</v>
      </c>
      <c r="HK49" s="90">
        <f t="shared" si="114"/>
        <v>1.0099229561991725</v>
      </c>
      <c r="HL49" s="90">
        <f t="shared" si="587"/>
        <v>1415.71</v>
      </c>
      <c r="HM49" s="90">
        <v>1.07</v>
      </c>
      <c r="HN49" s="90">
        <f t="shared" si="116"/>
        <v>1499.9259999999999</v>
      </c>
      <c r="HO49" s="90">
        <v>1.1499999999999999</v>
      </c>
      <c r="HP49" s="90">
        <f t="shared" si="117"/>
        <v>1612.07</v>
      </c>
      <c r="HQ49" s="90">
        <v>1.1499999999999999</v>
      </c>
      <c r="HR49" s="90">
        <f t="shared" si="118"/>
        <v>1612.07</v>
      </c>
      <c r="HS49" s="90">
        <v>0.96</v>
      </c>
      <c r="HT49" s="90">
        <f t="shared" si="588"/>
        <v>1345.7279999999998</v>
      </c>
      <c r="HU49" s="90" t="e">
        <f>HT49*#REF!</f>
        <v>#REF!</v>
      </c>
      <c r="HV49" s="90">
        <v>2.83</v>
      </c>
      <c r="HW49" s="20">
        <v>3.49</v>
      </c>
      <c r="HX49" s="90">
        <f t="shared" si="120"/>
        <v>4892.2820000000002</v>
      </c>
      <c r="HY49" s="90">
        <v>1.06</v>
      </c>
      <c r="HZ49" s="90">
        <f t="shared" si="121"/>
        <v>5185.8189200000006</v>
      </c>
      <c r="IA49" s="90">
        <f t="shared" si="122"/>
        <v>3.7</v>
      </c>
      <c r="IB49" s="90">
        <f t="shared" si="123"/>
        <v>3.88</v>
      </c>
      <c r="IC49" s="90">
        <f t="shared" si="124"/>
        <v>5438.9839999999995</v>
      </c>
      <c r="ID49" s="90">
        <f t="shared" si="125"/>
        <v>4.09</v>
      </c>
      <c r="IE49" s="90">
        <f t="shared" si="126"/>
        <v>5733.36</v>
      </c>
      <c r="IF49" s="90">
        <f t="shared" si="127"/>
        <v>4.09</v>
      </c>
      <c r="IG49" s="92">
        <f t="shared" si="128"/>
        <v>68800.319999999992</v>
      </c>
      <c r="IH49" s="90">
        <v>4.3899999999999997</v>
      </c>
      <c r="II49" s="90">
        <f t="shared" si="129"/>
        <v>4.6100000000000003</v>
      </c>
      <c r="IJ49" s="90">
        <f t="shared" si="130"/>
        <v>6462.3</v>
      </c>
      <c r="IK49" s="90">
        <f t="shared" si="131"/>
        <v>4.6100000000000003</v>
      </c>
      <c r="IL49" s="90">
        <f t="shared" si="132"/>
        <v>6462.3</v>
      </c>
      <c r="IM49" s="90">
        <f t="shared" si="133"/>
        <v>4.6100000000000003</v>
      </c>
      <c r="IN49" s="90">
        <f t="shared" si="134"/>
        <v>6462.3</v>
      </c>
      <c r="IO49" s="90">
        <f t="shared" si="135"/>
        <v>4.6100000000000003</v>
      </c>
      <c r="IP49" s="93">
        <v>0.37052404126999999</v>
      </c>
      <c r="IQ49" s="90">
        <f t="shared" si="136"/>
        <v>623.2807212627431</v>
      </c>
      <c r="IR49" s="90">
        <f t="shared" si="137"/>
        <v>660.67756453850768</v>
      </c>
      <c r="IS49" s="90">
        <v>18121.54</v>
      </c>
      <c r="IT49" s="90">
        <v>509.05</v>
      </c>
      <c r="IU49" s="90"/>
      <c r="IV49" s="90">
        <v>333.12842065299088</v>
      </c>
      <c r="IW49" s="90">
        <v>1.5759999</v>
      </c>
      <c r="IX49" s="90">
        <f>J49*IW49</f>
        <v>2651.0839917839999</v>
      </c>
      <c r="IY49" s="90">
        <v>1.89119998663</v>
      </c>
      <c r="IZ49" s="90">
        <f t="shared" si="139"/>
        <v>2651.0841412579339</v>
      </c>
      <c r="JA49" s="90">
        <f t="shared" si="589"/>
        <v>2580.9899999999998</v>
      </c>
      <c r="JB49" s="90">
        <f>JA49/($SP49-$HL49)*($SX49-$HN49)</f>
        <v>2718.5016413971775</v>
      </c>
      <c r="JC49" s="90">
        <f t="shared" si="141"/>
        <v>2722.94</v>
      </c>
      <c r="JD49" s="90">
        <f t="shared" si="142"/>
        <v>2932.9141296852472</v>
      </c>
      <c r="JE49" s="90">
        <f t="shared" si="143"/>
        <v>2932.9141296852472</v>
      </c>
      <c r="JF49" s="93">
        <v>4.2278943710000003E-2</v>
      </c>
      <c r="JG49" s="90">
        <f t="shared" si="144"/>
        <v>71.119947951213604</v>
      </c>
      <c r="JH49" s="90">
        <f t="shared" si="145"/>
        <v>75.387144828286424</v>
      </c>
      <c r="JI49" s="20">
        <v>101.71</v>
      </c>
      <c r="JJ49" s="90">
        <v>42.394755633351252</v>
      </c>
      <c r="JK49" s="90">
        <v>0.17965928</v>
      </c>
      <c r="JL49" s="90">
        <f>J49*JK49</f>
        <v>302.21565444480001</v>
      </c>
      <c r="JM49" s="90">
        <v>0.21559114040999999</v>
      </c>
      <c r="JN49" s="90">
        <f t="shared" si="147"/>
        <v>302.21566062673799</v>
      </c>
      <c r="JO49" s="90">
        <f t="shared" si="590"/>
        <v>302.22000000000003</v>
      </c>
      <c r="JP49" s="90">
        <f>JO49/($SP49-$HL49)*($SX49-$HN49)</f>
        <v>318.32187108940951</v>
      </c>
      <c r="JQ49" s="90">
        <f t="shared" si="149"/>
        <v>318.83999999999997</v>
      </c>
      <c r="JR49" s="90">
        <f t="shared" si="150"/>
        <v>343.42841633383915</v>
      </c>
      <c r="JS49" s="90">
        <f t="shared" si="151"/>
        <v>343.42841633383915</v>
      </c>
      <c r="JT49" s="93">
        <v>7.3220517000000002E-3</v>
      </c>
      <c r="JU49" s="90">
        <f t="shared" si="152"/>
        <v>12.316862487671999</v>
      </c>
      <c r="JV49" s="90">
        <f t="shared" si="591"/>
        <v>12.32</v>
      </c>
      <c r="JW49" s="90">
        <f>JV49/($SP49-$HL49)*($SX49-$HN49)</f>
        <v>12.976392865533468</v>
      </c>
      <c r="JX49" s="90">
        <f t="shared" si="154"/>
        <v>13</v>
      </c>
      <c r="JY49" s="90">
        <f t="shared" si="155"/>
        <v>13.999861323647998</v>
      </c>
      <c r="JZ49" s="90">
        <f t="shared" si="156"/>
        <v>13.999861323647998</v>
      </c>
      <c r="KA49" s="90">
        <v>7.3220500000000001E-3</v>
      </c>
      <c r="KB49" s="90">
        <f t="shared" ref="KB49:KB54" si="599">$J49*KA49</f>
        <v>12.316859628</v>
      </c>
      <c r="KC49" s="90" t="e">
        <f>KB49*#REF!</f>
        <v>#REF!</v>
      </c>
      <c r="KD49" s="90">
        <v>17952.740000000002</v>
      </c>
      <c r="KE49" s="90">
        <v>22700.14</v>
      </c>
      <c r="KF49" s="90"/>
      <c r="KG49" s="90">
        <f t="shared" si="550"/>
        <v>1772.4902300150279</v>
      </c>
      <c r="KH49" s="90" t="e">
        <f>KG49/(BW49+#REF!)*(CB49+#REF!)</f>
        <v>#REF!</v>
      </c>
      <c r="KI49" s="90">
        <v>0.8</v>
      </c>
      <c r="KJ49" s="94"/>
      <c r="KK49" s="90">
        <f t="shared" si="159"/>
        <v>0</v>
      </c>
      <c r="KL49" s="93">
        <v>1.7272052</v>
      </c>
      <c r="KM49" s="90">
        <f t="shared" ref="KM49:KM54" si="600">$I49*KL49</f>
        <v>2421.1962493599999</v>
      </c>
      <c r="KN49" s="90">
        <f t="shared" si="161"/>
        <v>2566.4680243215998</v>
      </c>
      <c r="KO49" s="90" t="e">
        <f>BW49+CN49+DC49+DS49+EG49+EV49+FK49+GB49+#REF!+#REF!+HJ49+HX49+IQ49+JG49+JU49+KK49+KM49</f>
        <v>#REF!</v>
      </c>
      <c r="KP49" s="90">
        <v>1908.2909510191757</v>
      </c>
      <c r="KQ49" s="90">
        <v>0.28334929455000002</v>
      </c>
      <c r="KR49" s="90">
        <f t="shared" si="560"/>
        <v>397.19904110019002</v>
      </c>
      <c r="KS49" s="90">
        <v>0.28334929455000002</v>
      </c>
      <c r="KT49" s="90">
        <f t="shared" si="592"/>
        <v>397.19904110019002</v>
      </c>
      <c r="KU49" s="90">
        <f t="shared" si="593"/>
        <v>397.19904110019002</v>
      </c>
      <c r="KV49" s="90">
        <f t="shared" si="594"/>
        <v>397.2</v>
      </c>
      <c r="KW49" s="90">
        <f>KV49/($SP49-$HL49)*($SX49-$HN49)</f>
        <v>418.36227647645239</v>
      </c>
      <c r="KX49" s="90">
        <f t="shared" si="166"/>
        <v>419.05</v>
      </c>
      <c r="KY49" s="90">
        <f t="shared" si="167"/>
        <v>451.35916540202794</v>
      </c>
      <c r="KZ49" s="90">
        <f t="shared" si="168"/>
        <v>451.35916540202794</v>
      </c>
      <c r="LA49" s="90">
        <f t="shared" si="169"/>
        <v>6476.3200000000015</v>
      </c>
      <c r="LB49" s="90">
        <f t="shared" si="170"/>
        <v>4.62</v>
      </c>
      <c r="LC49" s="92">
        <f t="shared" si="171"/>
        <v>77715.840000000026</v>
      </c>
      <c r="LD49" s="92">
        <v>4.97</v>
      </c>
      <c r="LE49" s="92">
        <v>6966.95</v>
      </c>
      <c r="LF49" s="90">
        <f t="shared" si="172"/>
        <v>4.9800000000000004</v>
      </c>
      <c r="LG49" s="90">
        <f t="shared" si="173"/>
        <v>6980.96</v>
      </c>
      <c r="LH49" s="90">
        <f t="shared" si="174"/>
        <v>6962.0440000000017</v>
      </c>
      <c r="LI49" s="90">
        <f t="shared" si="175"/>
        <v>4.97</v>
      </c>
      <c r="LJ49" s="90">
        <f t="shared" si="176"/>
        <v>6980.9599999999991</v>
      </c>
      <c r="LK49" s="90">
        <f t="shared" si="177"/>
        <v>4.9800000000000004</v>
      </c>
      <c r="LL49" s="90">
        <f t="shared" si="178"/>
        <v>6980.9599999999991</v>
      </c>
      <c r="LM49" s="90">
        <f t="shared" si="179"/>
        <v>4.9800000000000004</v>
      </c>
      <c r="LN49" s="95">
        <v>0.46</v>
      </c>
      <c r="LO49" s="95">
        <f t="shared" si="180"/>
        <v>644.83000000000004</v>
      </c>
      <c r="LP49" s="95"/>
      <c r="LQ49" s="95">
        <f t="shared" si="181"/>
        <v>0</v>
      </c>
      <c r="LR49" s="90"/>
      <c r="LS49" s="90"/>
      <c r="LT49" s="90">
        <f t="shared" si="182"/>
        <v>0</v>
      </c>
      <c r="LU49" s="90"/>
      <c r="LV49" s="90">
        <f t="shared" si="183"/>
        <v>0</v>
      </c>
      <c r="LW49" s="90">
        <f t="shared" si="184"/>
        <v>0</v>
      </c>
      <c r="LX49" s="90"/>
      <c r="LY49" s="90"/>
      <c r="LZ49" s="90">
        <f t="shared" si="185"/>
        <v>0</v>
      </c>
      <c r="MA49" s="90"/>
      <c r="MB49" s="90">
        <f t="shared" si="186"/>
        <v>0</v>
      </c>
      <c r="MC49" s="90">
        <f t="shared" si="187"/>
        <v>0</v>
      </c>
      <c r="MD49" s="90"/>
      <c r="ME49" s="90"/>
      <c r="MF49" s="90">
        <f t="shared" si="188"/>
        <v>0</v>
      </c>
      <c r="MG49" s="90"/>
      <c r="MH49" s="90">
        <f t="shared" si="189"/>
        <v>0</v>
      </c>
      <c r="MI49" s="90">
        <f t="shared" si="190"/>
        <v>0</v>
      </c>
      <c r="MJ49" s="90"/>
      <c r="MK49" s="90"/>
      <c r="ML49" s="90">
        <f t="shared" si="191"/>
        <v>0</v>
      </c>
      <c r="MM49" s="90"/>
      <c r="MN49" s="90">
        <f t="shared" si="192"/>
        <v>0</v>
      </c>
      <c r="MO49" s="90">
        <f t="shared" si="193"/>
        <v>0</v>
      </c>
      <c r="MP49" s="90">
        <f t="shared" si="194"/>
        <v>0</v>
      </c>
      <c r="MQ49" s="90">
        <f t="shared" si="195"/>
        <v>0</v>
      </c>
      <c r="MR49" s="90">
        <f t="shared" si="196"/>
        <v>0</v>
      </c>
      <c r="MS49" s="90">
        <f t="shared" si="197"/>
        <v>0</v>
      </c>
      <c r="MT49" s="95"/>
      <c r="MU49" s="95">
        <f t="shared" si="198"/>
        <v>0</v>
      </c>
      <c r="MV49" s="92">
        <f t="shared" si="199"/>
        <v>0</v>
      </c>
      <c r="MW49" s="95"/>
      <c r="MX49" s="95">
        <f t="shared" si="200"/>
        <v>0</v>
      </c>
      <c r="MY49" s="95"/>
      <c r="MZ49" s="95">
        <f t="shared" si="201"/>
        <v>0</v>
      </c>
      <c r="NA49" s="95"/>
      <c r="NB49" s="95">
        <f t="shared" si="202"/>
        <v>0</v>
      </c>
      <c r="NC49" s="92">
        <f t="shared" si="203"/>
        <v>0</v>
      </c>
      <c r="ND49" s="95"/>
      <c r="NE49" s="95">
        <f t="shared" si="204"/>
        <v>0</v>
      </c>
      <c r="NF49" s="95"/>
      <c r="NG49" s="95">
        <f t="shared" si="205"/>
        <v>0</v>
      </c>
      <c r="NH49" s="95"/>
      <c r="NI49" s="95"/>
      <c r="NJ49" s="95">
        <f t="shared" si="206"/>
        <v>0</v>
      </c>
      <c r="NK49" s="92">
        <f t="shared" si="207"/>
        <v>0</v>
      </c>
      <c r="NL49" s="95"/>
      <c r="NM49" s="95">
        <f t="shared" si="208"/>
        <v>0</v>
      </c>
      <c r="NN49" s="95"/>
      <c r="NO49" s="95">
        <f t="shared" si="209"/>
        <v>0</v>
      </c>
      <c r="NP49" s="95"/>
      <c r="NQ49" s="95">
        <f t="shared" si="210"/>
        <v>0</v>
      </c>
      <c r="NR49" s="92">
        <f t="shared" si="211"/>
        <v>0</v>
      </c>
      <c r="NS49" s="95"/>
      <c r="NT49" s="95">
        <f t="shared" si="212"/>
        <v>0</v>
      </c>
      <c r="NU49" s="95"/>
      <c r="NV49" s="95">
        <f t="shared" si="213"/>
        <v>0</v>
      </c>
      <c r="NW49" s="95">
        <f>0.55+0.25</f>
        <v>0.8</v>
      </c>
      <c r="NX49" s="95">
        <f t="shared" si="214"/>
        <v>1121.44</v>
      </c>
      <c r="NY49" s="92">
        <f t="shared" si="215"/>
        <v>13457.28</v>
      </c>
      <c r="NZ49" s="112">
        <f>0.55+0.25</f>
        <v>0.8</v>
      </c>
      <c r="OA49" s="95">
        <f t="shared" si="216"/>
        <v>1121.44</v>
      </c>
      <c r="OB49" s="112">
        <f>0.53+0.25</f>
        <v>0.78</v>
      </c>
      <c r="OC49" s="95">
        <f t="shared" si="217"/>
        <v>1093.4000000000001</v>
      </c>
      <c r="OD49" s="90">
        <v>5060.5</v>
      </c>
      <c r="OE49" s="90">
        <f t="shared" si="218"/>
        <v>3.61</v>
      </c>
      <c r="OF49" s="92">
        <f t="shared" si="219"/>
        <v>60726</v>
      </c>
      <c r="OG49" s="96">
        <v>1460.67</v>
      </c>
      <c r="OH49" s="96">
        <v>1.04</v>
      </c>
      <c r="OI49" s="90">
        <v>6518.37</v>
      </c>
      <c r="OJ49" s="90">
        <f t="shared" si="220"/>
        <v>4.6500000000000004</v>
      </c>
      <c r="OK49" s="90">
        <f t="shared" si="221"/>
        <v>6521.17</v>
      </c>
      <c r="OL49" s="90">
        <f t="shared" si="222"/>
        <v>4.6500000000000004</v>
      </c>
      <c r="OM49" s="90">
        <f t="shared" si="223"/>
        <v>0</v>
      </c>
      <c r="ON49" s="90">
        <v>5060.5</v>
      </c>
      <c r="OO49" s="90">
        <f t="shared" si="224"/>
        <v>3.61</v>
      </c>
      <c r="OP49" s="90">
        <v>5057.7</v>
      </c>
      <c r="OQ49" s="90">
        <v>3.61</v>
      </c>
      <c r="OR49" s="90">
        <f t="shared" si="225"/>
        <v>0</v>
      </c>
      <c r="OS49" s="90">
        <f t="shared" si="226"/>
        <v>3.6100000000000003</v>
      </c>
      <c r="OT49" s="90">
        <v>5060.5</v>
      </c>
      <c r="OU49" s="90">
        <f t="shared" si="227"/>
        <v>3.61</v>
      </c>
      <c r="OV49" s="97">
        <v>5060.5</v>
      </c>
      <c r="OW49" s="90">
        <f t="shared" si="228"/>
        <v>7864.1</v>
      </c>
      <c r="OX49" s="90">
        <f t="shared" si="229"/>
        <v>5.61</v>
      </c>
      <c r="OY49" s="90">
        <f>OU49-1+1+2</f>
        <v>5.6099999999999994</v>
      </c>
      <c r="OZ49" s="90"/>
      <c r="PA49" s="90"/>
      <c r="PB49" s="95">
        <f t="shared" si="230"/>
        <v>0</v>
      </c>
      <c r="PC49" s="92">
        <f t="shared" si="231"/>
        <v>0</v>
      </c>
      <c r="PD49" s="90"/>
      <c r="PE49" s="95">
        <f t="shared" si="232"/>
        <v>0</v>
      </c>
      <c r="PF49" s="90">
        <f t="shared" si="233"/>
        <v>20672.865000000002</v>
      </c>
      <c r="PG49" s="90">
        <f t="shared" si="234"/>
        <v>14.75</v>
      </c>
      <c r="PH49" s="90">
        <f t="shared" si="235"/>
        <v>27447.629999999997</v>
      </c>
      <c r="PI49" s="90">
        <f t="shared" si="236"/>
        <v>19.579999999999998</v>
      </c>
      <c r="PJ49" s="90">
        <f t="shared" si="237"/>
        <v>27447.629999999997</v>
      </c>
      <c r="PK49" s="90">
        <f t="shared" si="238"/>
        <v>19.579999999999998</v>
      </c>
      <c r="PL49" s="90"/>
      <c r="PM49" s="90">
        <f t="shared" si="239"/>
        <v>620.19000000000005</v>
      </c>
      <c r="PN49" s="90">
        <f t="shared" si="240"/>
        <v>0.44</v>
      </c>
      <c r="PO49" s="92">
        <f t="shared" si="241"/>
        <v>7442.2800000000007</v>
      </c>
      <c r="PP49" s="90">
        <f t="shared" si="242"/>
        <v>823.43</v>
      </c>
      <c r="PQ49" s="90">
        <f t="shared" si="243"/>
        <v>0.59</v>
      </c>
      <c r="PR49" s="90">
        <f t="shared" si="244"/>
        <v>823.43</v>
      </c>
      <c r="PS49" s="90">
        <f t="shared" si="245"/>
        <v>0.59</v>
      </c>
      <c r="PT49" s="90">
        <f t="shared" si="246"/>
        <v>21293.055</v>
      </c>
      <c r="PU49" s="90">
        <f t="shared" si="247"/>
        <v>15.19</v>
      </c>
      <c r="PV49" s="90">
        <f t="shared" si="248"/>
        <v>28271.059999999998</v>
      </c>
      <c r="PW49" s="90">
        <f t="shared" si="249"/>
        <v>20.170000000000002</v>
      </c>
      <c r="PX49" s="90">
        <f t="shared" si="250"/>
        <v>28271.059999999998</v>
      </c>
      <c r="PY49" s="90">
        <f t="shared" si="251"/>
        <v>20.170000000000002</v>
      </c>
      <c r="PZ49" s="90">
        <f t="shared" si="252"/>
        <v>215.08</v>
      </c>
      <c r="QA49" s="90">
        <f t="shared" si="253"/>
        <v>0.15</v>
      </c>
      <c r="QB49" s="92">
        <f t="shared" si="254"/>
        <v>2580.96</v>
      </c>
      <c r="QC49" s="90">
        <f t="shared" si="255"/>
        <v>285.57</v>
      </c>
      <c r="QD49" s="90">
        <f t="shared" si="256"/>
        <v>0.2</v>
      </c>
      <c r="QE49" s="90">
        <f t="shared" si="257"/>
        <v>285.57</v>
      </c>
      <c r="QF49" s="90">
        <f t="shared" si="258"/>
        <v>0.2</v>
      </c>
      <c r="QG49" s="90">
        <f t="shared" si="259"/>
        <v>21508.135000000002</v>
      </c>
      <c r="QH49" s="90">
        <f t="shared" si="260"/>
        <v>15.34</v>
      </c>
      <c r="QI49" s="92">
        <f t="shared" si="261"/>
        <v>258097.62000000002</v>
      </c>
      <c r="QJ49" s="90">
        <f t="shared" si="262"/>
        <v>433.70227647645237</v>
      </c>
      <c r="QK49" s="98">
        <f t="shared" si="263"/>
        <v>0.30089999999999995</v>
      </c>
      <c r="QL49" s="90">
        <f t="shared" si="264"/>
        <v>421.8016199999999</v>
      </c>
      <c r="QM49" s="90">
        <f t="shared" si="265"/>
        <v>0.14560000000000001</v>
      </c>
      <c r="QN49" s="90">
        <f t="shared" si="266"/>
        <v>204.10208</v>
      </c>
      <c r="QO49" s="90">
        <v>0.26789999999999997</v>
      </c>
      <c r="QP49" s="90">
        <v>0.17860000000000001</v>
      </c>
      <c r="QQ49" s="97">
        <f t="shared" si="267"/>
        <v>625.90369999999984</v>
      </c>
      <c r="QR49" s="97">
        <v>625.09999999999991</v>
      </c>
      <c r="QS49" s="97">
        <f t="shared" si="268"/>
        <v>0.80369999999993524</v>
      </c>
      <c r="QT49" s="90"/>
      <c r="QU49" s="90">
        <f t="shared" si="269"/>
        <v>0.14560000000000001</v>
      </c>
      <c r="QV49" s="90">
        <f t="shared" si="270"/>
        <v>204.10208</v>
      </c>
      <c r="QW49" s="90">
        <f t="shared" si="271"/>
        <v>625.90369999999984</v>
      </c>
      <c r="QX49" s="90">
        <f t="shared" si="272"/>
        <v>0.4464999999999999</v>
      </c>
      <c r="QY49" s="90"/>
      <c r="QZ49" s="90"/>
      <c r="RA49" s="90"/>
      <c r="RB49" s="90">
        <v>6140.3799999999992</v>
      </c>
      <c r="RC49" s="97">
        <f t="shared" si="273"/>
        <v>21508.135000000002</v>
      </c>
      <c r="RD49" s="97">
        <f t="shared" si="274"/>
        <v>15.34</v>
      </c>
      <c r="RE49" s="90">
        <f t="shared" si="275"/>
        <v>28556.629999999997</v>
      </c>
      <c r="RF49" s="90">
        <f t="shared" si="276"/>
        <v>20.37</v>
      </c>
      <c r="RG49" s="90">
        <f t="shared" si="277"/>
        <v>132.79009126466755</v>
      </c>
      <c r="RH49" s="90">
        <f t="shared" si="278"/>
        <v>28556.629999999997</v>
      </c>
      <c r="RI49" s="90">
        <f t="shared" si="279"/>
        <v>20.37</v>
      </c>
      <c r="RJ49" s="90">
        <v>18.02</v>
      </c>
      <c r="RK49" s="90">
        <v>0</v>
      </c>
      <c r="RL49" s="90">
        <f t="shared" si="280"/>
        <v>2.3500000000000014</v>
      </c>
      <c r="RM49" s="90">
        <f t="shared" si="281"/>
        <v>117.39631336405529</v>
      </c>
      <c r="RN49" s="90">
        <f t="shared" si="282"/>
        <v>15864.655000000001</v>
      </c>
      <c r="RO49" s="90"/>
      <c r="RP49" s="90"/>
      <c r="RQ49" s="99">
        <v>3349</v>
      </c>
      <c r="RR49" s="90">
        <f t="shared" si="283"/>
        <v>16447.635000000002</v>
      </c>
      <c r="RS49" s="90">
        <f t="shared" si="284"/>
        <v>11.733225139106864</v>
      </c>
      <c r="RT49" s="20">
        <v>14.56</v>
      </c>
      <c r="RU49" s="90">
        <f t="shared" si="285"/>
        <v>20410.207999999999</v>
      </c>
      <c r="RV49" s="90">
        <f t="shared" si="286"/>
        <v>0.30938955377118876</v>
      </c>
      <c r="RW49" s="20">
        <v>13.49</v>
      </c>
      <c r="RX49" s="90">
        <f t="shared" si="287"/>
        <v>14.1645</v>
      </c>
      <c r="RY49" s="90">
        <f t="shared" si="288"/>
        <v>19855.7961</v>
      </c>
      <c r="RZ49" s="90">
        <f t="shared" si="289"/>
        <v>6140.4867528188015</v>
      </c>
      <c r="SA49" s="90">
        <f t="shared" si="290"/>
        <v>1829.1420884464574</v>
      </c>
      <c r="SB49" s="90">
        <f t="shared" si="291"/>
        <v>1829.1432387355012</v>
      </c>
      <c r="SC49" s="90">
        <f t="shared" si="292"/>
        <v>6140.4867528188015</v>
      </c>
      <c r="SD49" s="90">
        <f t="shared" si="293"/>
        <v>6140.4879031078453</v>
      </c>
      <c r="SE49" s="90">
        <f t="shared" si="294"/>
        <v>6140.485875296039</v>
      </c>
      <c r="SF49" s="90">
        <f t="shared" si="295"/>
        <v>6119.2436246176649</v>
      </c>
      <c r="SG49" s="90">
        <f t="shared" si="296"/>
        <v>21.243128201136642</v>
      </c>
      <c r="SH49" s="90">
        <f t="shared" si="297"/>
        <v>6139.8355221585452</v>
      </c>
      <c r="SI49" s="90">
        <f t="shared" si="298"/>
        <v>4.3804308054699996</v>
      </c>
      <c r="SJ49" s="100">
        <f t="shared" si="299"/>
        <v>4.3652758058336891</v>
      </c>
      <c r="SK49" s="100"/>
      <c r="SL49" s="100"/>
      <c r="SM49" s="90"/>
      <c r="SN49" s="90">
        <f t="shared" si="300"/>
        <v>6217.86</v>
      </c>
      <c r="SO49" s="90" t="e">
        <f>RU49-#REF!-#REF!-HZ49-LT49-LZ49-MF49-ML49-QL49-QN49-SD49</f>
        <v>#REF!</v>
      </c>
      <c r="SP49" s="90">
        <f t="shared" si="301"/>
        <v>6140.3799999999992</v>
      </c>
      <c r="SQ49" s="90">
        <f t="shared" si="302"/>
        <v>6476.3200000000015</v>
      </c>
      <c r="SR49" s="90">
        <f t="shared" si="303"/>
        <v>4.3803538307889855</v>
      </c>
      <c r="SS49" s="90">
        <f t="shared" si="304"/>
        <v>4.620002853474106</v>
      </c>
      <c r="ST49" s="90">
        <f t="shared" si="305"/>
        <v>6484.4460000000008</v>
      </c>
      <c r="SU49" s="90">
        <v>4.3803538307889855</v>
      </c>
      <c r="SV49" s="90">
        <f t="shared" si="306"/>
        <v>4.63</v>
      </c>
      <c r="SW49" s="90">
        <v>4.62</v>
      </c>
      <c r="SX49" s="90">
        <f t="shared" si="307"/>
        <v>6476.32</v>
      </c>
      <c r="SY49" s="90">
        <v>4.3804285714285713</v>
      </c>
      <c r="SZ49" s="90">
        <f t="shared" si="308"/>
        <v>6140.4847714285715</v>
      </c>
      <c r="TA49" s="90">
        <f t="shared" si="309"/>
        <v>0.10477142857234867</v>
      </c>
      <c r="TB49" s="90">
        <v>0</v>
      </c>
      <c r="TC49" s="90">
        <f t="shared" si="310"/>
        <v>6377.2953000000016</v>
      </c>
      <c r="TD49" s="90" t="e">
        <f>#REF!+#REF!</f>
        <v>#REF!</v>
      </c>
      <c r="TE49" s="90" t="e">
        <f t="shared" si="311"/>
        <v>#REF!</v>
      </c>
      <c r="TF49" s="90">
        <v>6198.8136333333314</v>
      </c>
      <c r="TG49" s="90">
        <f t="shared" si="312"/>
        <v>31.245616409200739</v>
      </c>
      <c r="TH49" s="95"/>
      <c r="TI49" s="95"/>
      <c r="TJ49" s="95"/>
      <c r="TK49" s="95"/>
      <c r="TL49" s="95"/>
      <c r="TM49" s="95">
        <f t="shared" si="313"/>
        <v>0</v>
      </c>
      <c r="TN49" s="95">
        <f t="shared" si="314"/>
        <v>20410.207999999999</v>
      </c>
      <c r="TO49" s="95">
        <f t="shared" si="315"/>
        <v>31.245616409200739</v>
      </c>
      <c r="TP49" s="95"/>
      <c r="TQ49" s="95">
        <f t="shared" si="316"/>
        <v>14.56</v>
      </c>
      <c r="TR49" s="95"/>
      <c r="TS49" s="95"/>
      <c r="TT49" s="95"/>
      <c r="TU49" s="95"/>
      <c r="TV49" s="95"/>
      <c r="TW49" s="95"/>
      <c r="TX49" s="95"/>
      <c r="TY49" s="95"/>
      <c r="TZ49" s="95">
        <f t="shared" si="317"/>
        <v>3.0666208791208782</v>
      </c>
      <c r="UA49" s="95">
        <f t="shared" si="318"/>
        <v>0.6406400000000001</v>
      </c>
      <c r="UB49" s="90">
        <v>0</v>
      </c>
      <c r="UC49" s="90">
        <f t="shared" si="319"/>
        <v>0</v>
      </c>
      <c r="UD49" s="90">
        <f t="shared" si="320"/>
        <v>0</v>
      </c>
      <c r="UE49" s="90">
        <f t="shared" si="321"/>
        <v>0</v>
      </c>
      <c r="UF49" s="90">
        <f t="shared" si="322"/>
        <v>20410.207999999999</v>
      </c>
      <c r="UG49" s="91">
        <f t="shared" si="323"/>
        <v>0</v>
      </c>
      <c r="UH49" s="95">
        <f t="shared" si="324"/>
        <v>31.245616409200739</v>
      </c>
      <c r="UI49" s="95">
        <f t="shared" si="325"/>
        <v>20410.207999999999</v>
      </c>
      <c r="UJ49" s="101">
        <f t="shared" si="326"/>
        <v>0</v>
      </c>
      <c r="UK49" s="101">
        <f t="shared" si="327"/>
        <v>31.245616409200739</v>
      </c>
      <c r="UL49" s="90" t="e">
        <f>(#REF!+#REF!+HZ49+LT49+LZ49+MF49+ML49+QL49+QN49+SN49+TC49+TM49+UC49)/I49</f>
        <v>#REF!</v>
      </c>
      <c r="UN49" s="90" t="e">
        <f>#REF!/I49</f>
        <v>#REF!</v>
      </c>
      <c r="UO49" s="90" t="e">
        <f>#REF!/I49</f>
        <v>#REF!</v>
      </c>
      <c r="UP49" s="90">
        <v>1.1499999999999999</v>
      </c>
      <c r="UQ49" s="90" t="e">
        <f t="shared" si="328"/>
        <v>#REF!</v>
      </c>
      <c r="UR49" s="90">
        <f t="shared" si="329"/>
        <v>16447.635000000002</v>
      </c>
      <c r="US49" s="90">
        <f t="shared" si="330"/>
        <v>19617.349999999999</v>
      </c>
      <c r="UT49" s="90">
        <f t="shared" si="331"/>
        <v>19617.349999999999</v>
      </c>
      <c r="UU49" s="90">
        <f t="shared" si="516"/>
        <v>20262.18</v>
      </c>
      <c r="UV49" s="90">
        <f t="shared" si="333"/>
        <v>20047.699999999997</v>
      </c>
      <c r="UW49" s="90">
        <f t="shared" si="334"/>
        <v>7.05</v>
      </c>
      <c r="UX49" s="90">
        <f t="shared" si="335"/>
        <v>4.62</v>
      </c>
      <c r="UY49" s="90">
        <f t="shared" si="336"/>
        <v>4.4356256241974608</v>
      </c>
      <c r="UZ49" s="100">
        <f t="shared" si="337"/>
        <v>4.3804308054699996</v>
      </c>
      <c r="VA49" s="90">
        <f t="shared" si="338"/>
        <v>0.59</v>
      </c>
      <c r="VB49" s="90">
        <f t="shared" si="339"/>
        <v>1.04</v>
      </c>
      <c r="VC49" s="90">
        <f t="shared" si="340"/>
        <v>0.8</v>
      </c>
      <c r="VD49" s="90">
        <f t="shared" si="341"/>
        <v>0</v>
      </c>
      <c r="VE49" s="90">
        <f t="shared" si="342"/>
        <v>0</v>
      </c>
      <c r="VF49" s="90">
        <f t="shared" si="343"/>
        <v>0</v>
      </c>
      <c r="VG49" s="90">
        <f t="shared" si="344"/>
        <v>0</v>
      </c>
      <c r="VH49" s="90">
        <f t="shared" si="345"/>
        <v>0</v>
      </c>
      <c r="VI49" s="90">
        <f t="shared" si="346"/>
        <v>0</v>
      </c>
      <c r="VJ49" s="90">
        <f t="shared" si="347"/>
        <v>0</v>
      </c>
      <c r="VK49" s="90">
        <f t="shared" si="348"/>
        <v>1.3</v>
      </c>
      <c r="VL49" s="90">
        <f t="shared" si="349"/>
        <v>4.09</v>
      </c>
      <c r="VM49" s="90">
        <f t="shared" si="350"/>
        <v>3.61</v>
      </c>
      <c r="VN49" s="90">
        <f t="shared" si="351"/>
        <v>0</v>
      </c>
      <c r="VO49" s="90">
        <f t="shared" si="352"/>
        <v>3.61</v>
      </c>
      <c r="VP49" s="97">
        <v>0</v>
      </c>
      <c r="VQ49" s="97">
        <v>4.41</v>
      </c>
      <c r="VR49" s="90">
        <f t="shared" si="353"/>
        <v>0.44</v>
      </c>
      <c r="VS49" s="90">
        <f t="shared" si="354"/>
        <v>0.15</v>
      </c>
      <c r="VT49" s="90">
        <v>0.11989898989898991</v>
      </c>
      <c r="VU49" s="90">
        <f t="shared" si="355"/>
        <v>0.15340000000000001</v>
      </c>
      <c r="VV49" s="90">
        <v>0.38175323599898991</v>
      </c>
      <c r="VW49" s="90">
        <f t="shared" si="356"/>
        <v>0.59</v>
      </c>
      <c r="VX49" s="90">
        <f t="shared" si="357"/>
        <v>15.34</v>
      </c>
      <c r="VY49" s="90">
        <f t="shared" si="358"/>
        <v>15.34</v>
      </c>
      <c r="VZ49" s="90">
        <f t="shared" si="359"/>
        <v>0</v>
      </c>
      <c r="WA49" s="90"/>
      <c r="WB49" s="90">
        <f t="shared" si="360"/>
        <v>15.34</v>
      </c>
      <c r="WC49" s="90">
        <f t="shared" si="361"/>
        <v>0</v>
      </c>
      <c r="WD49" s="90"/>
      <c r="WE49" s="90">
        <v>15.34</v>
      </c>
      <c r="WF49" s="90"/>
      <c r="WG49" s="90">
        <f t="shared" si="362"/>
        <v>21503.611999999997</v>
      </c>
      <c r="WH49" s="90">
        <f t="shared" si="363"/>
        <v>20382.171999999999</v>
      </c>
      <c r="WI49" s="90">
        <f t="shared" si="364"/>
        <v>20386.695000000003</v>
      </c>
      <c r="WJ49" s="90">
        <f t="shared" si="365"/>
        <v>16447.635000000002</v>
      </c>
      <c r="WK49" s="97">
        <v>6181.94</v>
      </c>
      <c r="WL49" s="97">
        <v>4.41</v>
      </c>
      <c r="WM49" s="90">
        <f t="shared" si="366"/>
        <v>6181.94</v>
      </c>
      <c r="WN49" s="90">
        <f t="shared" si="367"/>
        <v>4.41</v>
      </c>
      <c r="WO49" s="90"/>
      <c r="WP49" s="97">
        <v>15.34</v>
      </c>
      <c r="WQ49" s="90">
        <f t="shared" si="368"/>
        <v>15.34</v>
      </c>
      <c r="WR49" s="91">
        <f t="shared" si="369"/>
        <v>105.35714285714286</v>
      </c>
      <c r="WS49" s="91">
        <f t="shared" si="370"/>
        <v>105.35714285714286</v>
      </c>
      <c r="WT49" s="90">
        <f t="shared" si="371"/>
        <v>21503.61</v>
      </c>
      <c r="WU49" s="90">
        <f t="shared" si="372"/>
        <v>21508.135000000002</v>
      </c>
      <c r="WV49" s="90">
        <f t="shared" si="373"/>
        <v>-4.5250000000014552</v>
      </c>
      <c r="WW49" s="90"/>
      <c r="WX49" s="90"/>
      <c r="WY49" s="90"/>
      <c r="WZ49" s="90">
        <f t="shared" si="374"/>
        <v>3.6328454545454547</v>
      </c>
      <c r="XA49" s="90">
        <v>0</v>
      </c>
      <c r="XB49" s="90">
        <f t="shared" si="375"/>
        <v>3.6328454545454547</v>
      </c>
      <c r="XC49" s="90">
        <f t="shared" si="376"/>
        <v>0.4617</v>
      </c>
      <c r="XD49" s="90">
        <f t="shared" si="377"/>
        <v>0.15545454545454546</v>
      </c>
      <c r="XE49" s="90"/>
      <c r="XF49" s="90">
        <f t="shared" si="378"/>
        <v>15.39</v>
      </c>
      <c r="XG49" s="90">
        <v>4.4220385456793636</v>
      </c>
      <c r="XH49" s="20">
        <v>14.56</v>
      </c>
      <c r="XI49" s="20">
        <v>0</v>
      </c>
      <c r="XJ49" s="20"/>
      <c r="XK49" s="20"/>
      <c r="XL49" s="20"/>
      <c r="XM49" s="20">
        <f t="shared" si="379"/>
        <v>14.56</v>
      </c>
      <c r="XN49" s="91">
        <f t="shared" si="380"/>
        <v>105.35714285714286</v>
      </c>
      <c r="XO49" s="20">
        <f t="shared" si="381"/>
        <v>14.56</v>
      </c>
      <c r="XP49" s="90">
        <f t="shared" si="382"/>
        <v>14.56</v>
      </c>
      <c r="XQ49" s="91">
        <f t="shared" si="383"/>
        <v>105.35714285714286</v>
      </c>
      <c r="XR49" s="102"/>
      <c r="XS49" s="90">
        <f t="shared" si="384"/>
        <v>4.09</v>
      </c>
      <c r="XT49" s="90">
        <f t="shared" si="385"/>
        <v>7.05</v>
      </c>
      <c r="XU49" s="90">
        <f t="shared" si="386"/>
        <v>4.62</v>
      </c>
      <c r="XV49" s="90">
        <f t="shared" si="387"/>
        <v>1.3900000000000001</v>
      </c>
      <c r="XW49" s="90">
        <f t="shared" si="388"/>
        <v>0.59</v>
      </c>
      <c r="XX49" s="90">
        <f t="shared" si="389"/>
        <v>0.8</v>
      </c>
      <c r="XY49" s="90">
        <f t="shared" si="390"/>
        <v>1.04</v>
      </c>
      <c r="XZ49" s="90">
        <f t="shared" si="391"/>
        <v>0</v>
      </c>
      <c r="YA49" s="90">
        <f t="shared" si="392"/>
        <v>0</v>
      </c>
      <c r="YB49" s="90">
        <f t="shared" si="552"/>
        <v>0</v>
      </c>
      <c r="YC49" s="90">
        <f t="shared" si="552"/>
        <v>0</v>
      </c>
      <c r="YD49" s="90">
        <f t="shared" si="394"/>
        <v>1.04</v>
      </c>
      <c r="YE49" s="90">
        <f t="shared" si="395"/>
        <v>3.61</v>
      </c>
      <c r="YF49" s="90">
        <f t="shared" si="396"/>
        <v>0.59</v>
      </c>
      <c r="YG49" s="90">
        <f t="shared" si="397"/>
        <v>15.34</v>
      </c>
      <c r="YI49" s="103" t="s">
        <v>507</v>
      </c>
      <c r="YK49" s="90">
        <f t="shared" si="398"/>
        <v>1.07</v>
      </c>
      <c r="YL49" s="90">
        <f t="shared" si="553"/>
        <v>0.59</v>
      </c>
      <c r="YM49" s="90">
        <f t="shared" si="553"/>
        <v>1.04</v>
      </c>
      <c r="YN49" s="90">
        <f t="shared" si="400"/>
        <v>4.09</v>
      </c>
      <c r="YO49" s="90">
        <f t="shared" si="401"/>
        <v>8.5499999999999989</v>
      </c>
      <c r="YP49" s="90">
        <f t="shared" si="402"/>
        <v>0</v>
      </c>
      <c r="YQ49" s="90">
        <f t="shared" si="403"/>
        <v>15.34</v>
      </c>
      <c r="YR49" s="90">
        <f t="shared" si="404"/>
        <v>0</v>
      </c>
      <c r="YS49" s="104">
        <f t="shared" si="405"/>
        <v>15.34</v>
      </c>
      <c r="YT49" s="104">
        <f t="shared" si="406"/>
        <v>0</v>
      </c>
      <c r="YY49" s="90">
        <f t="shared" si="407"/>
        <v>8.6000000000000014</v>
      </c>
      <c r="YZ49" s="90">
        <f t="shared" si="408"/>
        <v>4.9800000000000004</v>
      </c>
      <c r="ZA49" s="90">
        <f t="shared" si="409"/>
        <v>0.62</v>
      </c>
      <c r="ZB49" s="90">
        <f t="shared" si="410"/>
        <v>2.2000000000000002</v>
      </c>
      <c r="ZC49" s="90">
        <f t="shared" si="411"/>
        <v>0.8</v>
      </c>
      <c r="ZD49" s="90">
        <f t="shared" si="412"/>
        <v>0</v>
      </c>
      <c r="ZE49" s="90">
        <f t="shared" si="413"/>
        <v>0</v>
      </c>
      <c r="ZF49" s="90">
        <f t="shared" si="414"/>
        <v>0</v>
      </c>
      <c r="ZG49" s="90">
        <f t="shared" si="415"/>
        <v>0</v>
      </c>
      <c r="ZH49" s="90">
        <f t="shared" si="416"/>
        <v>0</v>
      </c>
      <c r="ZI49" s="90">
        <f t="shared" si="417"/>
        <v>0</v>
      </c>
      <c r="ZJ49" s="90">
        <f t="shared" si="418"/>
        <v>0</v>
      </c>
      <c r="ZK49" s="90">
        <f t="shared" si="419"/>
        <v>0</v>
      </c>
      <c r="ZL49" s="90">
        <f t="shared" si="420"/>
        <v>0</v>
      </c>
      <c r="ZM49" s="90">
        <f t="shared" si="421"/>
        <v>4.6100000000000003</v>
      </c>
      <c r="ZN49" s="90">
        <f t="shared" si="422"/>
        <v>7.8100000000000005</v>
      </c>
      <c r="ZO49" s="90">
        <f t="shared" si="423"/>
        <v>4.6500000000000004</v>
      </c>
      <c r="ZP49" s="90">
        <f t="shared" si="424"/>
        <v>5.61</v>
      </c>
      <c r="ZQ49" s="90">
        <f t="shared" si="425"/>
        <v>0</v>
      </c>
      <c r="ZR49" s="90">
        <f t="shared" si="426"/>
        <v>5.61</v>
      </c>
      <c r="ZS49" s="97">
        <v>227</v>
      </c>
      <c r="ZT49" s="97">
        <v>230.38</v>
      </c>
      <c r="ZU49" s="90">
        <f t="shared" si="427"/>
        <v>0.59</v>
      </c>
      <c r="ZV49" s="90">
        <f t="shared" si="428"/>
        <v>0.2</v>
      </c>
      <c r="ZW49" s="90">
        <v>0.11989898989898991</v>
      </c>
      <c r="ZX49" s="90">
        <f t="shared" si="429"/>
        <v>0.1961</v>
      </c>
      <c r="ZY49" s="90">
        <v>0.38175323599898991</v>
      </c>
      <c r="ZZ49" s="90">
        <f t="shared" si="430"/>
        <v>0.79</v>
      </c>
      <c r="AAA49" s="90">
        <f t="shared" si="431"/>
        <v>19.61</v>
      </c>
      <c r="AAB49" s="90">
        <f t="shared" si="432"/>
        <v>19.61</v>
      </c>
      <c r="AAC49" s="90">
        <f t="shared" si="433"/>
        <v>0</v>
      </c>
      <c r="AAD49" s="90"/>
      <c r="AAE49" s="90">
        <f t="shared" si="434"/>
        <v>19.61</v>
      </c>
      <c r="AAF49" s="90">
        <v>15.34</v>
      </c>
      <c r="AAG49" s="90">
        <f t="shared" si="435"/>
        <v>127.83572359843546</v>
      </c>
      <c r="AAH49" s="90">
        <f t="shared" si="436"/>
        <v>0</v>
      </c>
      <c r="AAI49" s="90">
        <v>0</v>
      </c>
      <c r="AAJ49" s="90"/>
      <c r="AAK49" s="1">
        <v>17.36</v>
      </c>
      <c r="AAL49" s="104">
        <f t="shared" si="437"/>
        <v>2.25</v>
      </c>
      <c r="AAM49" s="103" t="s">
        <v>545</v>
      </c>
      <c r="AAN49" s="105">
        <v>8.69</v>
      </c>
      <c r="AAO49" s="90">
        <f t="shared" si="438"/>
        <v>9.370000000000001</v>
      </c>
      <c r="AAP49" s="90">
        <v>4.97</v>
      </c>
      <c r="AAQ49" s="90">
        <f t="shared" si="439"/>
        <v>4.9800000000000004</v>
      </c>
      <c r="AAR49" s="90">
        <v>0.62</v>
      </c>
      <c r="AAS49" s="90">
        <f t="shared" si="440"/>
        <v>0.93</v>
      </c>
      <c r="AAT49" s="90">
        <f t="shared" si="441"/>
        <v>150</v>
      </c>
      <c r="AAU49" s="90">
        <v>2.2999999999999998</v>
      </c>
      <c r="AAV49" s="90">
        <f t="shared" si="442"/>
        <v>2.2000000000000002</v>
      </c>
      <c r="AAW49" s="90">
        <f t="shared" si="443"/>
        <v>95.652173913043498</v>
      </c>
      <c r="AAX49" s="90">
        <f t="shared" si="444"/>
        <v>0.46</v>
      </c>
      <c r="AAY49" s="90">
        <f t="shared" si="445"/>
        <v>0.8</v>
      </c>
      <c r="AAZ49" s="90">
        <f t="shared" si="446"/>
        <v>0</v>
      </c>
      <c r="ABA49" s="90">
        <f t="shared" si="447"/>
        <v>0</v>
      </c>
      <c r="ABB49" s="90">
        <f t="shared" si="448"/>
        <v>0</v>
      </c>
      <c r="ABC49" s="90">
        <v>0</v>
      </c>
      <c r="ABD49" s="90">
        <f t="shared" si="449"/>
        <v>0</v>
      </c>
      <c r="ABE49" s="90"/>
      <c r="ABF49" s="90">
        <v>0</v>
      </c>
      <c r="ABG49" s="90">
        <f t="shared" si="450"/>
        <v>0</v>
      </c>
      <c r="ABH49" s="90"/>
      <c r="ABI49" s="90">
        <f t="shared" si="451"/>
        <v>0</v>
      </c>
      <c r="ABJ49" s="90">
        <f t="shared" si="452"/>
        <v>0</v>
      </c>
      <c r="ABK49" s="90">
        <v>0</v>
      </c>
      <c r="ABL49" s="90">
        <f t="shared" si="453"/>
        <v>0</v>
      </c>
      <c r="ABM49" s="90">
        <f t="shared" si="454"/>
        <v>0</v>
      </c>
      <c r="ABN49" s="90">
        <f t="shared" si="455"/>
        <v>0</v>
      </c>
      <c r="ABO49" s="90">
        <v>4.3899999999999997</v>
      </c>
      <c r="ABP49" s="90">
        <f t="shared" si="456"/>
        <v>4.6100000000000003</v>
      </c>
      <c r="ABQ49" s="90">
        <f t="shared" si="457"/>
        <v>105.01138952164011</v>
      </c>
      <c r="ABR49" s="90">
        <f t="shared" si="458"/>
        <v>7.8100000000000005</v>
      </c>
      <c r="ABS49" s="90">
        <f t="shared" si="459"/>
        <v>4.6500000000000004</v>
      </c>
      <c r="ABT49" s="90">
        <v>3.61</v>
      </c>
      <c r="ABU49" s="90">
        <f t="shared" si="460"/>
        <v>5.61</v>
      </c>
      <c r="ABV49" s="90">
        <f t="shared" si="461"/>
        <v>155.4016620498615</v>
      </c>
      <c r="ABW49" s="90">
        <f t="shared" si="462"/>
        <v>0</v>
      </c>
      <c r="ABX49" s="90">
        <f t="shared" si="463"/>
        <v>5.61</v>
      </c>
      <c r="ABY49" s="97">
        <v>227</v>
      </c>
      <c r="ABZ49" s="97">
        <v>230.38</v>
      </c>
      <c r="ACA49" s="90">
        <f t="shared" si="464"/>
        <v>0.59</v>
      </c>
      <c r="ACB49" s="90">
        <f t="shared" si="465"/>
        <v>0.2</v>
      </c>
      <c r="ACC49" s="90">
        <v>0.11989898989898991</v>
      </c>
      <c r="ACD49" s="90">
        <f t="shared" si="466"/>
        <v>0.19919999999999999</v>
      </c>
      <c r="ACE49" s="90">
        <v>0.38175323599898991</v>
      </c>
      <c r="ACF49" s="90">
        <v>0.67</v>
      </c>
      <c r="ACG49" s="90">
        <f t="shared" si="467"/>
        <v>0.79</v>
      </c>
      <c r="ACH49" s="90">
        <f t="shared" si="468"/>
        <v>117.91044776119404</v>
      </c>
      <c r="ACI49" s="90">
        <f t="shared" si="469"/>
        <v>20.38</v>
      </c>
      <c r="ACJ49" s="90">
        <f t="shared" si="470"/>
        <v>19.919999999999998</v>
      </c>
      <c r="ACK49" s="90">
        <f t="shared" si="471"/>
        <v>-0.46000000000000085</v>
      </c>
      <c r="ACL49" s="90"/>
      <c r="ACM49" s="90">
        <f t="shared" si="472"/>
        <v>20.38</v>
      </c>
      <c r="ACN49" s="90">
        <f t="shared" si="473"/>
        <v>0</v>
      </c>
      <c r="ACO49" s="90">
        <f t="shared" si="474"/>
        <v>20.38</v>
      </c>
      <c r="ACP49" s="90">
        <v>17.36</v>
      </c>
      <c r="ACQ49" s="90">
        <f t="shared" si="475"/>
        <v>117.39631336405529</v>
      </c>
      <c r="ACR49" s="90">
        <f t="shared" si="476"/>
        <v>0</v>
      </c>
      <c r="ACS49" s="90">
        <v>0</v>
      </c>
      <c r="ACT49" s="90"/>
      <c r="ACU49" s="90">
        <f t="shared" si="477"/>
        <v>18.245359999999998</v>
      </c>
      <c r="ACV49" s="90">
        <f t="shared" si="478"/>
        <v>-2.134640000000001</v>
      </c>
      <c r="ACX49" s="106" t="s">
        <v>546</v>
      </c>
      <c r="ACY49" s="107">
        <v>12500</v>
      </c>
      <c r="ACZ49" s="107">
        <v>120000</v>
      </c>
      <c r="ADB49" s="90">
        <f t="shared" si="479"/>
        <v>4.6100000000000003</v>
      </c>
      <c r="ADC49" s="90">
        <f t="shared" si="480"/>
        <v>9.370000000000001</v>
      </c>
      <c r="ADD49" s="90">
        <f t="shared" si="481"/>
        <v>4.9800000000000004</v>
      </c>
      <c r="ADE49" s="90">
        <f t="shared" si="517"/>
        <v>2.1900000000000004</v>
      </c>
      <c r="ADF49" s="90">
        <f t="shared" si="483"/>
        <v>0.93</v>
      </c>
      <c r="ADG49" s="90">
        <f t="shared" si="554"/>
        <v>0.46</v>
      </c>
      <c r="ADH49" s="90">
        <f t="shared" si="554"/>
        <v>0.8</v>
      </c>
      <c r="ADI49" s="90">
        <f t="shared" si="554"/>
        <v>0</v>
      </c>
      <c r="ADJ49" s="90">
        <f t="shared" si="485"/>
        <v>2.2000000000000002</v>
      </c>
      <c r="ADK49" s="90">
        <f t="shared" si="486"/>
        <v>0</v>
      </c>
      <c r="ADL49" s="90">
        <f t="shared" si="487"/>
        <v>0</v>
      </c>
      <c r="ADM49" s="90">
        <f t="shared" si="555"/>
        <v>0</v>
      </c>
      <c r="ADN49" s="90">
        <f t="shared" si="555"/>
        <v>0</v>
      </c>
      <c r="ADO49" s="90">
        <f t="shared" si="489"/>
        <v>2.2000000000000002</v>
      </c>
      <c r="ADP49" s="90">
        <f t="shared" si="490"/>
        <v>5.61</v>
      </c>
      <c r="ADQ49" s="90">
        <f t="shared" si="491"/>
        <v>0.79</v>
      </c>
      <c r="ADR49" s="90">
        <f t="shared" si="492"/>
        <v>20.38</v>
      </c>
      <c r="ADU49" s="90">
        <f t="shared" si="493"/>
        <v>1.1499999999999999</v>
      </c>
      <c r="ADV49" s="90">
        <f t="shared" si="494"/>
        <v>0.93</v>
      </c>
      <c r="ADW49" s="90">
        <f t="shared" si="495"/>
        <v>2.2000000000000002</v>
      </c>
      <c r="ADX49" s="90">
        <f t="shared" si="496"/>
        <v>4.6100000000000003</v>
      </c>
      <c r="ADY49" s="90">
        <f t="shared" si="497"/>
        <v>11.030000000000001</v>
      </c>
      <c r="ADZ49" s="90">
        <f t="shared" si="498"/>
        <v>0</v>
      </c>
      <c r="AEA49" s="90">
        <f t="shared" si="499"/>
        <v>20.38</v>
      </c>
      <c r="AEB49" s="90">
        <f t="shared" si="500"/>
        <v>0</v>
      </c>
      <c r="AEC49" s="104">
        <f t="shared" si="501"/>
        <v>19.920000000000002</v>
      </c>
      <c r="AED49" s="104">
        <f t="shared" si="502"/>
        <v>0.4599999999999973</v>
      </c>
      <c r="AEG49" s="1">
        <v>8.69</v>
      </c>
      <c r="AEH49" s="1">
        <v>4.97</v>
      </c>
      <c r="AEI49" s="1">
        <v>0.62</v>
      </c>
      <c r="AEJ49" s="1">
        <v>2.2999999999999998</v>
      </c>
      <c r="AEK49" s="1">
        <v>0</v>
      </c>
      <c r="AEL49" s="1">
        <v>0.8</v>
      </c>
      <c r="AEM49" s="1">
        <v>0</v>
      </c>
      <c r="AEN49" s="1">
        <v>0</v>
      </c>
      <c r="AEO49" s="1">
        <v>0</v>
      </c>
      <c r="AEP49" s="1">
        <v>0</v>
      </c>
      <c r="AEQ49" s="1">
        <v>0</v>
      </c>
      <c r="AER49" s="1">
        <v>0</v>
      </c>
      <c r="AES49" s="1">
        <v>0</v>
      </c>
      <c r="AET49" s="1">
        <v>0</v>
      </c>
      <c r="AEU49" s="1">
        <v>0</v>
      </c>
      <c r="AEV49" s="1">
        <v>0</v>
      </c>
      <c r="AEW49" s="1">
        <v>4.3899999999999997</v>
      </c>
      <c r="AEX49" s="1">
        <v>5.91</v>
      </c>
      <c r="AEY49" s="1">
        <v>4.6500000000000004</v>
      </c>
      <c r="AEZ49" s="1">
        <v>3.61</v>
      </c>
      <c r="AFA49" s="1">
        <v>0</v>
      </c>
      <c r="AFB49" s="1">
        <v>3.61</v>
      </c>
      <c r="AFC49" s="1">
        <v>227</v>
      </c>
      <c r="AFD49" s="1">
        <v>230.38</v>
      </c>
      <c r="AFE49" s="1">
        <v>0.5</v>
      </c>
      <c r="AFF49" s="1">
        <v>0.17</v>
      </c>
      <c r="AFG49" s="1">
        <v>0.11989898989898991</v>
      </c>
      <c r="AFH49" s="1">
        <v>0.1736</v>
      </c>
      <c r="AFI49" s="1">
        <v>0.38175323599898991</v>
      </c>
      <c r="AFJ49" s="1">
        <v>0.67</v>
      </c>
      <c r="AFK49" s="1">
        <v>17.36</v>
      </c>
      <c r="AFL49" s="1">
        <v>17.36</v>
      </c>
      <c r="AFM49" s="1">
        <v>0</v>
      </c>
      <c r="AFO49" s="1">
        <v>17.36</v>
      </c>
      <c r="AFP49" s="1">
        <v>0</v>
      </c>
      <c r="AFQ49" s="1">
        <v>17.36</v>
      </c>
      <c r="AFX49" s="1">
        <v>18.010000000000002</v>
      </c>
    </row>
    <row r="50" spans="1:856" s="1" customFormat="1" ht="63.75" customHeight="1">
      <c r="A50" s="88">
        <v>42</v>
      </c>
      <c r="B50" s="20"/>
      <c r="C50" s="89" t="s">
        <v>547</v>
      </c>
      <c r="D50" s="20"/>
      <c r="E50" s="20" t="s">
        <v>536</v>
      </c>
      <c r="F50" s="20" t="s">
        <v>537</v>
      </c>
      <c r="G50" s="20">
        <v>1.2</v>
      </c>
      <c r="H50" s="20">
        <v>935.8</v>
      </c>
      <c r="I50" s="20">
        <f>935.8+0.2-0.2+1.9+1.9</f>
        <v>939.59999999999991</v>
      </c>
      <c r="J50" s="20">
        <f t="shared" si="0"/>
        <v>1127.5199999999998</v>
      </c>
      <c r="K50" s="20">
        <v>18</v>
      </c>
      <c r="L50" s="20">
        <v>47</v>
      </c>
      <c r="M50" s="20">
        <v>51</v>
      </c>
      <c r="N50" s="20">
        <v>1257.83</v>
      </c>
      <c r="O50" s="90">
        <f t="shared" si="1"/>
        <v>1.34</v>
      </c>
      <c r="P50" s="20">
        <v>3456</v>
      </c>
      <c r="Q50" s="90">
        <f>P50/12</f>
        <v>288</v>
      </c>
      <c r="R50" s="90">
        <f t="shared" si="2"/>
        <v>0.31</v>
      </c>
      <c r="S50" s="20">
        <v>67.5</v>
      </c>
      <c r="T50" s="20">
        <v>2.6</v>
      </c>
      <c r="U50" s="20">
        <v>3.13</v>
      </c>
      <c r="V50" s="91">
        <f t="shared" si="3"/>
        <v>549.32000000000005</v>
      </c>
      <c r="W50" s="20">
        <v>2.1000000000000001E-2</v>
      </c>
      <c r="X50" s="20">
        <f t="shared" si="4"/>
        <v>33.42</v>
      </c>
      <c r="Y50" s="91">
        <f t="shared" si="5"/>
        <v>47.37</v>
      </c>
      <c r="Z50" s="20">
        <v>1.7999999999999999E-2</v>
      </c>
      <c r="AA50" s="20">
        <f t="shared" si="561"/>
        <v>171.12</v>
      </c>
      <c r="AB50" s="91">
        <f t="shared" si="562"/>
        <v>207.91</v>
      </c>
      <c r="AC50" s="91">
        <f t="shared" si="6"/>
        <v>804.6</v>
      </c>
      <c r="AD50" s="90">
        <f t="shared" si="7"/>
        <v>0.86</v>
      </c>
      <c r="AE50" s="92">
        <f t="shared" si="8"/>
        <v>9655.2000000000007</v>
      </c>
      <c r="AF50" s="20">
        <v>47</v>
      </c>
      <c r="AG50" s="20">
        <v>43</v>
      </c>
      <c r="AH50" s="20">
        <v>43</v>
      </c>
      <c r="AI50" s="20">
        <v>43</v>
      </c>
      <c r="AJ50" s="20">
        <v>1.6</v>
      </c>
      <c r="AK50" s="90">
        <f t="shared" si="9"/>
        <v>5.73</v>
      </c>
      <c r="AL50" s="90">
        <v>391.01</v>
      </c>
      <c r="AM50" s="90">
        <f t="shared" si="10"/>
        <v>2240.4899999999998</v>
      </c>
      <c r="AN50" s="20">
        <v>48</v>
      </c>
      <c r="AO50" s="20">
        <v>43</v>
      </c>
      <c r="AP50" s="20">
        <v>47</v>
      </c>
      <c r="AQ50" s="20">
        <v>48</v>
      </c>
      <c r="AR50" s="20">
        <v>43</v>
      </c>
      <c r="AS50" s="20">
        <v>47</v>
      </c>
      <c r="AT50" s="20">
        <f t="shared" si="11"/>
        <v>4</v>
      </c>
      <c r="AU50" s="20">
        <v>1.6</v>
      </c>
      <c r="AV50" s="90">
        <f t="shared" si="12"/>
        <v>6.27</v>
      </c>
      <c r="AW50" s="90">
        <f t="shared" si="551"/>
        <v>188.88</v>
      </c>
      <c r="AX50" s="90">
        <v>1183.6500000000001</v>
      </c>
      <c r="AY50" s="90">
        <f t="shared" si="14"/>
        <v>1.26</v>
      </c>
      <c r="AZ50" s="90">
        <f t="shared" si="15"/>
        <v>2450.33</v>
      </c>
      <c r="BA50" s="90">
        <f t="shared" si="16"/>
        <v>-1266.6799999999998</v>
      </c>
      <c r="BB50" s="90">
        <v>1183.6500000000001</v>
      </c>
      <c r="BC50" s="90">
        <v>1.26</v>
      </c>
      <c r="BD50" s="92">
        <f t="shared" si="17"/>
        <v>14203.800000000001</v>
      </c>
      <c r="BE50" s="90"/>
      <c r="BF50" s="90">
        <f t="shared" si="18"/>
        <v>0</v>
      </c>
      <c r="BG50" s="90">
        <v>391.01</v>
      </c>
      <c r="BH50" s="90">
        <f t="shared" si="19"/>
        <v>2451.63</v>
      </c>
      <c r="BI50" s="90">
        <f t="shared" si="20"/>
        <v>2.61</v>
      </c>
      <c r="BJ50" s="90">
        <f t="shared" si="21"/>
        <v>207.14285714285711</v>
      </c>
      <c r="BK50" s="90">
        <f t="shared" si="22"/>
        <v>2451.63</v>
      </c>
      <c r="BL50" s="90">
        <f t="shared" si="23"/>
        <v>2.61</v>
      </c>
      <c r="BM50" s="90"/>
      <c r="BN50" s="90">
        <f t="shared" si="24"/>
        <v>0</v>
      </c>
      <c r="BO50" s="90">
        <f t="shared" si="25"/>
        <v>2451.63</v>
      </c>
      <c r="BP50" s="90">
        <f t="shared" si="26"/>
        <v>2.6092273307790554</v>
      </c>
      <c r="BQ50" s="90"/>
      <c r="BR50" s="90">
        <f t="shared" si="27"/>
        <v>0</v>
      </c>
      <c r="BS50" s="90">
        <f t="shared" si="28"/>
        <v>2451.63</v>
      </c>
      <c r="BT50" s="90">
        <f t="shared" si="29"/>
        <v>2.6092273307790554</v>
      </c>
      <c r="BU50" s="90"/>
      <c r="BV50" s="93">
        <v>1.7027650000000001</v>
      </c>
      <c r="BW50" s="90">
        <f t="shared" si="30"/>
        <v>1599.9179939999999</v>
      </c>
      <c r="BX50" s="90">
        <f t="shared" si="31"/>
        <v>1695.91307364</v>
      </c>
      <c r="BY50" s="90"/>
      <c r="BZ50" s="90">
        <v>2185.5299250200001</v>
      </c>
      <c r="CA50" s="90">
        <v>0.37305430897000003</v>
      </c>
      <c r="CB50" s="90">
        <f t="shared" si="556"/>
        <v>350.52182870821201</v>
      </c>
      <c r="CC50" s="90">
        <v>0.37305430897000003</v>
      </c>
      <c r="CD50" s="90">
        <f t="shared" si="563"/>
        <v>350.52182870821201</v>
      </c>
      <c r="CE50" s="90">
        <f t="shared" si="564"/>
        <v>350.52182870821201</v>
      </c>
      <c r="CF50" s="90">
        <f>I50*0.361793891</f>
        <v>339.94153998359997</v>
      </c>
      <c r="CG50" s="90">
        <f>I50*0.361793891</f>
        <v>339.94153998359997</v>
      </c>
      <c r="CH50" s="90">
        <f t="shared" si="565"/>
        <v>339.94</v>
      </c>
      <c r="CI50" s="90">
        <f>I50*0.381064739</f>
        <v>358.04842876439994</v>
      </c>
      <c r="CJ50" s="90">
        <f t="shared" si="36"/>
        <v>358.64</v>
      </c>
      <c r="CK50" s="90">
        <f t="shared" si="37"/>
        <v>386.28954688331197</v>
      </c>
      <c r="CL50" s="90">
        <f t="shared" si="38"/>
        <v>386.28954688331197</v>
      </c>
      <c r="CM50" s="94">
        <v>0.14899999999999999</v>
      </c>
      <c r="CN50" s="90">
        <f t="shared" si="39"/>
        <v>238.38778110599998</v>
      </c>
      <c r="CO50" s="90">
        <f t="shared" si="40"/>
        <v>252.69104797236</v>
      </c>
      <c r="CP50" s="90">
        <v>325.644363</v>
      </c>
      <c r="CQ50" s="90">
        <v>5.0232736819999999E-2</v>
      </c>
      <c r="CR50" s="90">
        <f t="shared" si="557"/>
        <v>47.198679516071991</v>
      </c>
      <c r="CS50" s="90">
        <v>5.0232736819999999E-2</v>
      </c>
      <c r="CT50" s="90">
        <f t="shared" si="566"/>
        <v>47.198679516071991</v>
      </c>
      <c r="CU50" s="90">
        <f t="shared" si="567"/>
        <v>47.198679516071991</v>
      </c>
      <c r="CV50" s="90">
        <f>I50*0.103779163</f>
        <v>97.510901554799986</v>
      </c>
      <c r="CW50" s="90">
        <f t="shared" si="568"/>
        <v>97.51</v>
      </c>
      <c r="CX50" s="90">
        <f>I50*0.109304082</f>
        <v>102.70211544719999</v>
      </c>
      <c r="CY50" s="90">
        <f t="shared" si="45"/>
        <v>102.87</v>
      </c>
      <c r="CZ50" s="90">
        <f t="shared" si="46"/>
        <v>110.80275865743742</v>
      </c>
      <c r="DA50" s="90">
        <f t="shared" si="47"/>
        <v>110.80275865743742</v>
      </c>
      <c r="DB50" s="93">
        <v>1.1979820000000001</v>
      </c>
      <c r="DC50" s="90">
        <f t="shared" si="48"/>
        <v>1125.6238871999999</v>
      </c>
      <c r="DD50" s="90">
        <f t="shared" si="49"/>
        <v>1193.1613204319999</v>
      </c>
      <c r="DE50" s="90"/>
      <c r="DF50" s="90">
        <v>634.06487514306173</v>
      </c>
      <c r="DG50" s="90">
        <v>0.28219173505</v>
      </c>
      <c r="DH50" s="90">
        <f t="shared" si="558"/>
        <v>265.14735425297999</v>
      </c>
      <c r="DI50" s="90">
        <v>0.28219173505</v>
      </c>
      <c r="DJ50" s="90">
        <f t="shared" si="569"/>
        <v>265.14735425297999</v>
      </c>
      <c r="DK50" s="90">
        <f t="shared" si="570"/>
        <v>265.14735425297999</v>
      </c>
      <c r="DL50" s="90">
        <f>I50*0.228495796</f>
        <v>214.69464992159999</v>
      </c>
      <c r="DM50" s="90">
        <f t="shared" si="571"/>
        <v>214.69</v>
      </c>
      <c r="DN50" s="90">
        <f>I50*0.240668919</f>
        <v>226.1325162924</v>
      </c>
      <c r="DO50" s="90">
        <f t="shared" si="54"/>
        <v>226.5</v>
      </c>
      <c r="DP50" s="90">
        <f t="shared" si="55"/>
        <v>243.96874901985231</v>
      </c>
      <c r="DQ50" s="90">
        <f t="shared" si="56"/>
        <v>243.96874901985231</v>
      </c>
      <c r="DR50" s="93">
        <v>4.2594E-2</v>
      </c>
      <c r="DS50" s="90">
        <f t="shared" si="57"/>
        <v>40.021322399999995</v>
      </c>
      <c r="DT50" s="90">
        <f t="shared" si="58"/>
        <v>42.422601743999998</v>
      </c>
      <c r="DU50" s="90">
        <v>23.982390781578165</v>
      </c>
      <c r="DV50" s="90">
        <v>1.366632888E-2</v>
      </c>
      <c r="DW50" s="90">
        <f t="shared" si="559"/>
        <v>12.840882615647999</v>
      </c>
      <c r="DX50" s="90">
        <v>1.366632888E-2</v>
      </c>
      <c r="DY50" s="90">
        <f t="shared" si="572"/>
        <v>12.840882615647999</v>
      </c>
      <c r="DZ50" s="90">
        <f t="shared" si="573"/>
        <v>12.840882615647999</v>
      </c>
      <c r="EA50" s="90">
        <f t="shared" si="574"/>
        <v>12.84</v>
      </c>
      <c r="EB50" s="90">
        <f>I50*0.014388915</f>
        <v>13.519824534</v>
      </c>
      <c r="EC50" s="90">
        <f t="shared" si="63"/>
        <v>13.55</v>
      </c>
      <c r="ED50" s="90">
        <f t="shared" si="64"/>
        <v>14.58620251792043</v>
      </c>
      <c r="EE50" s="90">
        <f t="shared" si="65"/>
        <v>14.58620251792043</v>
      </c>
      <c r="EF50" s="94">
        <v>0.85293354333000004</v>
      </c>
      <c r="EG50" s="90">
        <f t="shared" si="66"/>
        <v>961.6996287754414</v>
      </c>
      <c r="EH50" s="90">
        <f t="shared" si="67"/>
        <v>1019.4016065019679</v>
      </c>
      <c r="EI50" s="90">
        <v>819.88810984172869</v>
      </c>
      <c r="EJ50" s="90">
        <v>0.13912706999999999</v>
      </c>
      <c r="EK50" s="90">
        <f t="shared" si="595"/>
        <v>156.86855396639996</v>
      </c>
      <c r="EL50" s="90">
        <v>0.16695248382</v>
      </c>
      <c r="EM50" s="90">
        <f t="shared" si="575"/>
        <v>156.86855379727197</v>
      </c>
      <c r="EN50" s="90">
        <f t="shared" si="576"/>
        <v>156.86855379727197</v>
      </c>
      <c r="EO50" s="90">
        <f>J50*0.135381707</f>
        <v>152.64558227663994</v>
      </c>
      <c r="EP50" s="90">
        <f t="shared" si="577"/>
        <v>152.65</v>
      </c>
      <c r="EQ50" s="90">
        <f>I50*0.171116882</f>
        <v>160.78142232719998</v>
      </c>
      <c r="ER50" s="90">
        <f t="shared" si="72"/>
        <v>161.05000000000001</v>
      </c>
      <c r="ES50" s="90">
        <f t="shared" si="73"/>
        <v>173.46307870239647</v>
      </c>
      <c r="ET50" s="90">
        <f t="shared" si="74"/>
        <v>173.46307870239647</v>
      </c>
      <c r="EU50" s="94">
        <v>0.14899999999999999</v>
      </c>
      <c r="EV50" s="90">
        <f t="shared" si="75"/>
        <v>143.29324468754075</v>
      </c>
      <c r="EW50" s="90">
        <f t="shared" si="76"/>
        <v>151.89083936879319</v>
      </c>
      <c r="EX50" s="90">
        <v>122.17962561703672</v>
      </c>
      <c r="EY50" s="90">
        <v>2.0730599999999998E-2</v>
      </c>
      <c r="EZ50" s="90">
        <f t="shared" si="596"/>
        <v>23.374166111999994</v>
      </c>
      <c r="FA50" s="90">
        <v>2.4876671749999999E-2</v>
      </c>
      <c r="FB50" s="90">
        <f t="shared" si="578"/>
        <v>23.374120776299996</v>
      </c>
      <c r="FC50" s="90">
        <f t="shared" si="579"/>
        <v>23.374120776299996</v>
      </c>
      <c r="FD50" s="90">
        <f>J50*0.041845299</f>
        <v>47.181411528479991</v>
      </c>
      <c r="FE50" s="90">
        <f t="shared" si="580"/>
        <v>47.18</v>
      </c>
      <c r="FF50" s="90">
        <f>I50*0.052894145</f>
        <v>49.699338641999994</v>
      </c>
      <c r="FG50" s="90">
        <f t="shared" si="81"/>
        <v>49.77</v>
      </c>
      <c r="FH50" s="90">
        <f t="shared" si="82"/>
        <v>53.619380681743429</v>
      </c>
      <c r="FI50" s="90">
        <f t="shared" si="83"/>
        <v>53.619380681743429</v>
      </c>
      <c r="FJ50" s="93">
        <v>0.49981642240000002</v>
      </c>
      <c r="FK50" s="90">
        <f t="shared" si="84"/>
        <v>563.55301258444786</v>
      </c>
      <c r="FL50" s="90">
        <f t="shared" si="85"/>
        <v>597.36619333951478</v>
      </c>
      <c r="FM50" s="90">
        <v>452.26764457124648</v>
      </c>
      <c r="FN50" s="90">
        <v>8.9680701000000002E-2</v>
      </c>
      <c r="FO50" s="90">
        <f t="shared" si="597"/>
        <v>101.11678399151998</v>
      </c>
      <c r="FP50" s="90">
        <v>0.10761684168000001</v>
      </c>
      <c r="FQ50" s="90">
        <f t="shared" si="581"/>
        <v>101.116784442528</v>
      </c>
      <c r="FR50" s="90">
        <f t="shared" si="582"/>
        <v>101.116784442528</v>
      </c>
      <c r="FS50" s="90">
        <f>J50*0.069578257</f>
        <v>78.450876332639993</v>
      </c>
      <c r="FT50" s="90">
        <f t="shared" si="89"/>
        <v>82.22</v>
      </c>
      <c r="FU50" s="90">
        <f>J50*0.0818196</f>
        <v>92.253235391999993</v>
      </c>
      <c r="FV50" s="90">
        <f t="shared" si="583"/>
        <v>92.25</v>
      </c>
      <c r="FW50" s="90">
        <f>I50*0.103418218</f>
        <v>97.171757632799995</v>
      </c>
      <c r="FX50" s="90">
        <f t="shared" si="91"/>
        <v>97.32</v>
      </c>
      <c r="FY50" s="90">
        <f t="shared" si="92"/>
        <v>104.83619312439083</v>
      </c>
      <c r="FZ50" s="90">
        <f t="shared" si="93"/>
        <v>104.83619312439083</v>
      </c>
      <c r="GA50" s="94">
        <v>1.352261642E-2</v>
      </c>
      <c r="GB50" s="90">
        <f t="shared" si="94"/>
        <v>15.247020465878396</v>
      </c>
      <c r="GC50" s="90">
        <f t="shared" si="95"/>
        <v>16.1618416938311</v>
      </c>
      <c r="GD50" s="90">
        <v>13.201403410287229</v>
      </c>
      <c r="GE50" s="90">
        <v>2.4269999999999999E-3</v>
      </c>
      <c r="GF50" s="90">
        <f t="shared" si="598"/>
        <v>2.7364910399999993</v>
      </c>
      <c r="GG50" s="90">
        <v>2.9119942899999999E-3</v>
      </c>
      <c r="GH50" s="90">
        <f t="shared" si="584"/>
        <v>2.7361098348839996</v>
      </c>
      <c r="GI50" s="90">
        <f t="shared" si="585"/>
        <v>2.7361098348839996</v>
      </c>
      <c r="GJ50" s="90">
        <f t="shared" si="586"/>
        <v>2.74</v>
      </c>
      <c r="GK50" s="90">
        <f>I50*0.00306649</f>
        <v>2.8812740039999998</v>
      </c>
      <c r="GL50" s="90">
        <f t="shared" si="100"/>
        <v>2.89</v>
      </c>
      <c r="GM50" s="90">
        <f t="shared" si="101"/>
        <v>3.1085348797444299</v>
      </c>
      <c r="GN50" s="90">
        <f t="shared" si="102"/>
        <v>3.1085348797444299</v>
      </c>
      <c r="GO50" s="90">
        <v>3628.8</v>
      </c>
      <c r="GP50" s="90">
        <f t="shared" si="103"/>
        <v>302.40000000000003</v>
      </c>
      <c r="GQ50" s="90">
        <f>2381.4+554.4</f>
        <v>2935.8</v>
      </c>
      <c r="GR50" s="90">
        <f t="shared" si="104"/>
        <v>244.65</v>
      </c>
      <c r="GS50" s="90">
        <f t="shared" si="105"/>
        <v>547.05000000000007</v>
      </c>
      <c r="GT50" s="90">
        <f t="shared" si="106"/>
        <v>0.57999999999999996</v>
      </c>
      <c r="GU50" s="108">
        <f>4145.04+3.5</f>
        <v>4148.54</v>
      </c>
      <c r="GV50" s="90">
        <f>2257.2+528.96</f>
        <v>2786.16</v>
      </c>
      <c r="GW50" s="90">
        <f t="shared" si="107"/>
        <v>577.89166666666665</v>
      </c>
      <c r="GX50" s="90">
        <f t="shared" si="108"/>
        <v>0.62</v>
      </c>
      <c r="GY50" s="113">
        <v>7407.72</v>
      </c>
      <c r="GZ50" s="90">
        <f>2400.84+565.44</f>
        <v>2966.28</v>
      </c>
      <c r="HA50" s="90">
        <f t="shared" si="109"/>
        <v>864.5</v>
      </c>
      <c r="HB50" s="90">
        <f t="shared" si="110"/>
        <v>0.92</v>
      </c>
      <c r="HC50" s="113">
        <v>7407.72</v>
      </c>
      <c r="HD50" s="90">
        <f>2400.84+565.44</f>
        <v>2966.28</v>
      </c>
      <c r="HE50" s="90">
        <f t="shared" si="111"/>
        <v>864.5</v>
      </c>
      <c r="HF50" s="90">
        <f t="shared" si="112"/>
        <v>0.92</v>
      </c>
      <c r="HG50" s="90"/>
      <c r="HH50" s="90"/>
      <c r="HI50" s="90">
        <v>0.96</v>
      </c>
      <c r="HJ50" s="90">
        <f t="shared" si="113"/>
        <v>902.01599999999985</v>
      </c>
      <c r="HK50" s="90">
        <f t="shared" si="114"/>
        <v>1.0099191145168158</v>
      </c>
      <c r="HL50" s="90">
        <f t="shared" si="587"/>
        <v>948.92</v>
      </c>
      <c r="HM50" s="90">
        <v>1.07</v>
      </c>
      <c r="HN50" s="90">
        <f t="shared" si="116"/>
        <v>1005.372</v>
      </c>
      <c r="HO50" s="90">
        <v>1.1499999999999999</v>
      </c>
      <c r="HP50" s="90">
        <f t="shared" si="117"/>
        <v>1080.54</v>
      </c>
      <c r="HQ50" s="90">
        <v>1.1499999999999999</v>
      </c>
      <c r="HR50" s="90">
        <f t="shared" si="118"/>
        <v>1080.54</v>
      </c>
      <c r="HS50" s="90">
        <v>0.96</v>
      </c>
      <c r="HT50" s="90">
        <f t="shared" si="588"/>
        <v>902.01599999999985</v>
      </c>
      <c r="HU50" s="90" t="e">
        <f>HT50*#REF!</f>
        <v>#REF!</v>
      </c>
      <c r="HV50" s="90">
        <v>2.83</v>
      </c>
      <c r="HW50" s="20">
        <v>3.49</v>
      </c>
      <c r="HX50" s="90">
        <f t="shared" si="120"/>
        <v>3279.2039999999997</v>
      </c>
      <c r="HY50" s="90">
        <v>1.06</v>
      </c>
      <c r="HZ50" s="90">
        <f t="shared" si="121"/>
        <v>3475.95624</v>
      </c>
      <c r="IA50" s="90">
        <f t="shared" si="122"/>
        <v>3.7</v>
      </c>
      <c r="IB50" s="90">
        <f t="shared" si="123"/>
        <v>3.88</v>
      </c>
      <c r="IC50" s="90">
        <f t="shared" si="124"/>
        <v>3645.6479999999997</v>
      </c>
      <c r="ID50" s="90">
        <f t="shared" si="125"/>
        <v>4.09</v>
      </c>
      <c r="IE50" s="90">
        <f t="shared" si="126"/>
        <v>3842.96</v>
      </c>
      <c r="IF50" s="90">
        <f t="shared" si="127"/>
        <v>4.09</v>
      </c>
      <c r="IG50" s="92">
        <f t="shared" si="128"/>
        <v>46115.520000000004</v>
      </c>
      <c r="IH50" s="90">
        <v>4.3899999999999997</v>
      </c>
      <c r="II50" s="90">
        <f t="shared" si="129"/>
        <v>4.6100000000000003</v>
      </c>
      <c r="IJ50" s="90">
        <f t="shared" si="130"/>
        <v>4331.5600000000004</v>
      </c>
      <c r="IK50" s="90">
        <f t="shared" si="131"/>
        <v>4.6100000000000003</v>
      </c>
      <c r="IL50" s="90">
        <f t="shared" si="132"/>
        <v>4331.5600000000004</v>
      </c>
      <c r="IM50" s="90">
        <f t="shared" si="133"/>
        <v>4.6100000000000003</v>
      </c>
      <c r="IN50" s="90">
        <f t="shared" si="134"/>
        <v>4331.5600000000004</v>
      </c>
      <c r="IO50" s="90">
        <f t="shared" si="135"/>
        <v>4.6100000000000003</v>
      </c>
      <c r="IP50" s="93">
        <v>0.37052404126999999</v>
      </c>
      <c r="IQ50" s="90">
        <f t="shared" si="136"/>
        <v>417.7732670127503</v>
      </c>
      <c r="IR50" s="90">
        <f t="shared" si="137"/>
        <v>442.83966303351531</v>
      </c>
      <c r="IS50" s="90">
        <v>18121.54</v>
      </c>
      <c r="IT50" s="90">
        <v>509.05</v>
      </c>
      <c r="IU50" s="90"/>
      <c r="IV50" s="90">
        <v>222.67255431933489</v>
      </c>
      <c r="IW50" s="90">
        <v>1.5759999</v>
      </c>
      <c r="IX50" s="90">
        <f>$J50*IW50</f>
        <v>1776.9714072479997</v>
      </c>
      <c r="IY50" s="90">
        <v>1.89119998663</v>
      </c>
      <c r="IZ50" s="90">
        <f t="shared" si="139"/>
        <v>1776.9715074375479</v>
      </c>
      <c r="JA50" s="90">
        <f t="shared" si="589"/>
        <v>1729.99</v>
      </c>
      <c r="JB50" s="90">
        <f>I50*1.939290967</f>
        <v>1822.1577925931999</v>
      </c>
      <c r="JC50" s="90">
        <f t="shared" si="141"/>
        <v>1825.14</v>
      </c>
      <c r="JD50" s="90">
        <f t="shared" si="142"/>
        <v>1965.8807342899549</v>
      </c>
      <c r="JE50" s="90">
        <f t="shared" si="143"/>
        <v>1965.8807342899549</v>
      </c>
      <c r="JF50" s="93">
        <v>4.2278943710000003E-2</v>
      </c>
      <c r="JG50" s="90">
        <f t="shared" si="144"/>
        <v>47.670354611899192</v>
      </c>
      <c r="JH50" s="90">
        <f t="shared" si="145"/>
        <v>50.530575888613143</v>
      </c>
      <c r="JI50" s="20">
        <v>101.71</v>
      </c>
      <c r="JJ50" s="90">
        <v>28.337865944064358</v>
      </c>
      <c r="JK50" s="90">
        <v>0.17965928</v>
      </c>
      <c r="JL50" s="90">
        <f>$J50*JK50</f>
        <v>202.56943138559996</v>
      </c>
      <c r="JM50" s="90">
        <v>0.21559114040999999</v>
      </c>
      <c r="JN50" s="90">
        <f t="shared" si="147"/>
        <v>202.56943552923596</v>
      </c>
      <c r="JO50" s="90">
        <f t="shared" si="590"/>
        <v>202.57</v>
      </c>
      <c r="JP50" s="90">
        <f>I50*0.227077517</f>
        <v>213.3620349732</v>
      </c>
      <c r="JQ50" s="90">
        <f t="shared" si="149"/>
        <v>213.71</v>
      </c>
      <c r="JR50" s="90">
        <f t="shared" si="150"/>
        <v>230.19099426388436</v>
      </c>
      <c r="JS50" s="90">
        <f t="shared" si="151"/>
        <v>230.19099426388436</v>
      </c>
      <c r="JT50" s="93">
        <v>7.3220517000000002E-3</v>
      </c>
      <c r="JU50" s="90">
        <f t="shared" si="152"/>
        <v>8.2557597327839982</v>
      </c>
      <c r="JV50" s="90">
        <f t="shared" si="591"/>
        <v>8.26</v>
      </c>
      <c r="JW50" s="90">
        <f>I50*0.009255633</f>
        <v>8.6965927667999985</v>
      </c>
      <c r="JX50" s="90">
        <f t="shared" si="154"/>
        <v>8.7100000000000009</v>
      </c>
      <c r="JY50" s="90">
        <f t="shared" si="155"/>
        <v>9.382537694436822</v>
      </c>
      <c r="JZ50" s="90">
        <f t="shared" si="156"/>
        <v>9.382537694436822</v>
      </c>
      <c r="KA50" s="90">
        <v>7.3220500000000001E-3</v>
      </c>
      <c r="KB50" s="90">
        <f t="shared" si="599"/>
        <v>8.2557578159999991</v>
      </c>
      <c r="KC50" s="90" t="e">
        <f>KB50*#REF!</f>
        <v>#REF!</v>
      </c>
      <c r="KD50" s="90">
        <v>17952.740000000002</v>
      </c>
      <c r="KE50" s="90">
        <v>22700.14</v>
      </c>
      <c r="KF50" s="90"/>
      <c r="KG50" s="90">
        <f t="shared" si="550"/>
        <v>1188.0666429748326</v>
      </c>
      <c r="KH50" s="90" t="e">
        <f>KG50/(BW50+#REF!)*(CB50+#REF!)</f>
        <v>#REF!</v>
      </c>
      <c r="KI50" s="90">
        <v>0.8</v>
      </c>
      <c r="KJ50" s="94"/>
      <c r="KK50" s="90">
        <f t="shared" si="159"/>
        <v>0</v>
      </c>
      <c r="KL50" s="93">
        <v>1.7272052</v>
      </c>
      <c r="KM50" s="90">
        <f t="shared" si="600"/>
        <v>1622.8820059199998</v>
      </c>
      <c r="KN50" s="90">
        <f t="shared" si="161"/>
        <v>1720.2549262751998</v>
      </c>
      <c r="KO50" s="90" t="e">
        <f>BW50+CN50+DC50+DS50+EG50+EV50+FK50+GB50+#REF!+#REF!+HJ50+HX50+IQ50+JG50+JU50+KK50+KM50</f>
        <v>#REF!</v>
      </c>
      <c r="KP50" s="90">
        <v>1275.5561942598174</v>
      </c>
      <c r="KQ50" s="90">
        <v>0.28334929455000002</v>
      </c>
      <c r="KR50" s="90">
        <f t="shared" si="560"/>
        <v>266.23499715918001</v>
      </c>
      <c r="KS50" s="90">
        <v>0.28334929455000002</v>
      </c>
      <c r="KT50" s="90">
        <f t="shared" si="592"/>
        <v>266.23499715918001</v>
      </c>
      <c r="KU50" s="90">
        <f t="shared" si="593"/>
        <v>266.23499715918001</v>
      </c>
      <c r="KV50" s="90">
        <f t="shared" si="594"/>
        <v>266.23</v>
      </c>
      <c r="KW50" s="90">
        <f>I50*0.298449229</f>
        <v>280.42289556839995</v>
      </c>
      <c r="KX50" s="90">
        <f t="shared" si="166"/>
        <v>280.87</v>
      </c>
      <c r="KY50" s="90">
        <f t="shared" si="167"/>
        <v>302.54128928492594</v>
      </c>
      <c r="KZ50" s="90">
        <f t="shared" si="168"/>
        <v>302.54128928492594</v>
      </c>
      <c r="LA50" s="90">
        <f t="shared" si="169"/>
        <v>4340.9479935456002</v>
      </c>
      <c r="LB50" s="90">
        <f t="shared" si="170"/>
        <v>4.62</v>
      </c>
      <c r="LC50" s="92">
        <f t="shared" si="171"/>
        <v>52091.375922547202</v>
      </c>
      <c r="LD50" s="92">
        <v>4.97</v>
      </c>
      <c r="LE50" s="92">
        <v>4669.8099999999995</v>
      </c>
      <c r="LF50" s="90">
        <f t="shared" si="172"/>
        <v>4.9800000000000004</v>
      </c>
      <c r="LG50" s="90">
        <f t="shared" si="173"/>
        <v>4679.21</v>
      </c>
      <c r="LH50" s="90">
        <f t="shared" si="174"/>
        <v>4666.5190930615199</v>
      </c>
      <c r="LI50" s="90">
        <f t="shared" si="175"/>
        <v>4.97</v>
      </c>
      <c r="LJ50" s="90">
        <f t="shared" si="176"/>
        <v>4679.2099999999991</v>
      </c>
      <c r="LK50" s="90">
        <f t="shared" si="177"/>
        <v>4.9800000000000004</v>
      </c>
      <c r="LL50" s="90">
        <f t="shared" si="178"/>
        <v>4679.2099999999991</v>
      </c>
      <c r="LM50" s="90">
        <f t="shared" si="179"/>
        <v>4.9800000000000004</v>
      </c>
      <c r="LN50" s="95">
        <v>0.46</v>
      </c>
      <c r="LO50" s="95">
        <f t="shared" si="180"/>
        <v>432.22</v>
      </c>
      <c r="LP50" s="95"/>
      <c r="LQ50" s="95">
        <f t="shared" si="181"/>
        <v>0</v>
      </c>
      <c r="LR50" s="90"/>
      <c r="LS50" s="90"/>
      <c r="LT50" s="90">
        <f t="shared" si="182"/>
        <v>0</v>
      </c>
      <c r="LU50" s="90"/>
      <c r="LV50" s="90">
        <f t="shared" si="183"/>
        <v>0</v>
      </c>
      <c r="LW50" s="90">
        <f t="shared" si="184"/>
        <v>0</v>
      </c>
      <c r="LX50" s="90"/>
      <c r="LY50" s="90"/>
      <c r="LZ50" s="90">
        <f t="shared" si="185"/>
        <v>0</v>
      </c>
      <c r="MA50" s="90"/>
      <c r="MB50" s="90">
        <f t="shared" si="186"/>
        <v>0</v>
      </c>
      <c r="MC50" s="90">
        <f t="shared" si="187"/>
        <v>0</v>
      </c>
      <c r="MD50" s="90"/>
      <c r="ME50" s="90"/>
      <c r="MF50" s="90">
        <f t="shared" si="188"/>
        <v>0</v>
      </c>
      <c r="MG50" s="90"/>
      <c r="MH50" s="90">
        <f t="shared" si="189"/>
        <v>0</v>
      </c>
      <c r="MI50" s="90">
        <f t="shared" si="190"/>
        <v>0</v>
      </c>
      <c r="MJ50" s="90"/>
      <c r="MK50" s="90"/>
      <c r="ML50" s="90">
        <f t="shared" si="191"/>
        <v>0</v>
      </c>
      <c r="MM50" s="90"/>
      <c r="MN50" s="90">
        <f t="shared" si="192"/>
        <v>0</v>
      </c>
      <c r="MO50" s="90">
        <f t="shared" si="193"/>
        <v>0</v>
      </c>
      <c r="MP50" s="90">
        <f t="shared" si="194"/>
        <v>0</v>
      </c>
      <c r="MQ50" s="90">
        <f t="shared" si="195"/>
        <v>0</v>
      </c>
      <c r="MR50" s="90">
        <f t="shared" si="196"/>
        <v>0</v>
      </c>
      <c r="MS50" s="90">
        <f t="shared" si="197"/>
        <v>0</v>
      </c>
      <c r="MT50" s="95"/>
      <c r="MU50" s="95">
        <f t="shared" si="198"/>
        <v>0</v>
      </c>
      <c r="MV50" s="92">
        <f t="shared" si="199"/>
        <v>0</v>
      </c>
      <c r="MW50" s="95"/>
      <c r="MX50" s="95">
        <f t="shared" si="200"/>
        <v>0</v>
      </c>
      <c r="MY50" s="95"/>
      <c r="MZ50" s="95">
        <f t="shared" si="201"/>
        <v>0</v>
      </c>
      <c r="NA50" s="95"/>
      <c r="NB50" s="95">
        <f t="shared" si="202"/>
        <v>0</v>
      </c>
      <c r="NC50" s="92">
        <f t="shared" si="203"/>
        <v>0</v>
      </c>
      <c r="ND50" s="95"/>
      <c r="NE50" s="95">
        <f t="shared" si="204"/>
        <v>0</v>
      </c>
      <c r="NF50" s="95"/>
      <c r="NG50" s="95">
        <f t="shared" si="205"/>
        <v>0</v>
      </c>
      <c r="NH50" s="95"/>
      <c r="NI50" s="95"/>
      <c r="NJ50" s="95">
        <f t="shared" si="206"/>
        <v>0</v>
      </c>
      <c r="NK50" s="92">
        <f t="shared" si="207"/>
        <v>0</v>
      </c>
      <c r="NL50" s="95"/>
      <c r="NM50" s="95">
        <f t="shared" si="208"/>
        <v>0</v>
      </c>
      <c r="NN50" s="95"/>
      <c r="NO50" s="95">
        <f t="shared" si="209"/>
        <v>0</v>
      </c>
      <c r="NP50" s="95"/>
      <c r="NQ50" s="95">
        <f t="shared" si="210"/>
        <v>0</v>
      </c>
      <c r="NR50" s="92">
        <f t="shared" si="211"/>
        <v>0</v>
      </c>
      <c r="NS50" s="95"/>
      <c r="NT50" s="95">
        <f t="shared" si="212"/>
        <v>0</v>
      </c>
      <c r="NU50" s="95"/>
      <c r="NV50" s="95">
        <f t="shared" si="213"/>
        <v>0</v>
      </c>
      <c r="NW50" s="95"/>
      <c r="NX50" s="95">
        <f t="shared" si="214"/>
        <v>0</v>
      </c>
      <c r="NY50" s="92">
        <f t="shared" si="215"/>
        <v>0</v>
      </c>
      <c r="NZ50" s="112"/>
      <c r="OA50" s="95">
        <f t="shared" si="216"/>
        <v>0</v>
      </c>
      <c r="OB50" s="112"/>
      <c r="OC50" s="95">
        <f t="shared" si="217"/>
        <v>0</v>
      </c>
      <c r="OD50" s="90">
        <v>3946.32</v>
      </c>
      <c r="OE50" s="90">
        <f t="shared" si="218"/>
        <v>4.2</v>
      </c>
      <c r="OF50" s="92">
        <f t="shared" si="219"/>
        <v>47355.840000000004</v>
      </c>
      <c r="OG50" s="96">
        <v>1183.6500000000001</v>
      </c>
      <c r="OH50" s="96">
        <v>1.26</v>
      </c>
      <c r="OI50" s="90">
        <v>5119.84</v>
      </c>
      <c r="OJ50" s="90">
        <f t="shared" si="220"/>
        <v>5.45</v>
      </c>
      <c r="OK50" s="90">
        <f t="shared" si="221"/>
        <v>5129.97</v>
      </c>
      <c r="OL50" s="90">
        <f t="shared" si="222"/>
        <v>5.46</v>
      </c>
      <c r="OM50" s="90">
        <f t="shared" si="223"/>
        <v>-9.9999999999997868E-3</v>
      </c>
      <c r="ON50" s="90">
        <v>3938.34</v>
      </c>
      <c r="OO50" s="90">
        <f t="shared" si="224"/>
        <v>4.1900000000000004</v>
      </c>
      <c r="OP50" s="90">
        <v>3938.34</v>
      </c>
      <c r="OQ50" s="90">
        <v>4.2</v>
      </c>
      <c r="OR50" s="90">
        <f t="shared" si="225"/>
        <v>-9.9999999999997868E-3</v>
      </c>
      <c r="OS50" s="90">
        <f t="shared" si="226"/>
        <v>4.1900000000000004</v>
      </c>
      <c r="OT50" s="90">
        <v>3938.34</v>
      </c>
      <c r="OU50" s="90">
        <f t="shared" si="227"/>
        <v>4.1900000000000004</v>
      </c>
      <c r="OV50" s="97">
        <v>4463.1000000000004</v>
      </c>
      <c r="OW50" s="90">
        <f>ROUND((I50*OY50),2)</f>
        <v>4463.1000000000004</v>
      </c>
      <c r="OX50" s="90">
        <f t="shared" si="229"/>
        <v>4.75</v>
      </c>
      <c r="OY50" s="90">
        <f>OU50+0.55+0.01</f>
        <v>4.75</v>
      </c>
      <c r="OZ50" s="90"/>
      <c r="PA50" s="90"/>
      <c r="PB50" s="95">
        <f t="shared" si="230"/>
        <v>0</v>
      </c>
      <c r="PC50" s="92">
        <f t="shared" si="231"/>
        <v>0</v>
      </c>
      <c r="PD50" s="90"/>
      <c r="PE50" s="95">
        <f t="shared" si="232"/>
        <v>0</v>
      </c>
      <c r="PF50" s="90">
        <f t="shared" si="233"/>
        <v>13860.9279935456</v>
      </c>
      <c r="PG50" s="90">
        <f t="shared" si="234"/>
        <v>14.75</v>
      </c>
      <c r="PH50" s="90">
        <f t="shared" si="235"/>
        <v>17222.22</v>
      </c>
      <c r="PI50" s="90">
        <f t="shared" si="236"/>
        <v>18.329999999999998</v>
      </c>
      <c r="PJ50" s="90">
        <f t="shared" si="237"/>
        <v>17222.22</v>
      </c>
      <c r="PK50" s="90">
        <f t="shared" si="238"/>
        <v>18.329999999999998</v>
      </c>
      <c r="PL50" s="90"/>
      <c r="PM50" s="90">
        <f t="shared" si="239"/>
        <v>415.83</v>
      </c>
      <c r="PN50" s="90">
        <f t="shared" si="240"/>
        <v>0.44</v>
      </c>
      <c r="PO50" s="92">
        <f t="shared" si="241"/>
        <v>4989.96</v>
      </c>
      <c r="PP50" s="90">
        <f t="shared" si="242"/>
        <v>516.66999999999996</v>
      </c>
      <c r="PQ50" s="90">
        <f t="shared" si="243"/>
        <v>0.55000000000000004</v>
      </c>
      <c r="PR50" s="90">
        <f t="shared" si="244"/>
        <v>516.66999999999996</v>
      </c>
      <c r="PS50" s="90">
        <f t="shared" si="245"/>
        <v>0.55000000000000004</v>
      </c>
      <c r="PT50" s="90">
        <f t="shared" si="246"/>
        <v>14276.7579935456</v>
      </c>
      <c r="PU50" s="90">
        <f t="shared" si="247"/>
        <v>15.19</v>
      </c>
      <c r="PV50" s="90">
        <f t="shared" si="248"/>
        <v>17738.89</v>
      </c>
      <c r="PW50" s="90">
        <f t="shared" si="249"/>
        <v>18.88</v>
      </c>
      <c r="PX50" s="90">
        <f t="shared" si="250"/>
        <v>17738.89</v>
      </c>
      <c r="PY50" s="90">
        <f t="shared" si="251"/>
        <v>18.88</v>
      </c>
      <c r="PZ50" s="90">
        <f t="shared" si="252"/>
        <v>144.21</v>
      </c>
      <c r="QA50" s="90">
        <f t="shared" si="253"/>
        <v>0.15</v>
      </c>
      <c r="QB50" s="92">
        <f t="shared" si="254"/>
        <v>1730.52</v>
      </c>
      <c r="QC50" s="90">
        <f t="shared" si="255"/>
        <v>179.18</v>
      </c>
      <c r="QD50" s="90">
        <f t="shared" si="256"/>
        <v>0.19</v>
      </c>
      <c r="QE50" s="90">
        <f t="shared" si="257"/>
        <v>179.18</v>
      </c>
      <c r="QF50" s="90">
        <f t="shared" si="258"/>
        <v>0.19</v>
      </c>
      <c r="QG50" s="90">
        <f t="shared" si="259"/>
        <v>14420.967993545599</v>
      </c>
      <c r="QH50" s="90">
        <f t="shared" si="260"/>
        <v>15.35</v>
      </c>
      <c r="QI50" s="92">
        <f t="shared" si="261"/>
        <v>173051.61592254718</v>
      </c>
      <c r="QJ50" s="90">
        <f t="shared" si="262"/>
        <v>295.77289556839997</v>
      </c>
      <c r="QK50" s="98">
        <f t="shared" si="263"/>
        <v>0.30089999999999995</v>
      </c>
      <c r="QL50" s="90">
        <f t="shared" si="264"/>
        <v>282.72563999999994</v>
      </c>
      <c r="QM50" s="90">
        <f t="shared" si="265"/>
        <v>0.14560000000000001</v>
      </c>
      <c r="QN50" s="90">
        <f t="shared" si="266"/>
        <v>136.80575999999999</v>
      </c>
      <c r="QO50" s="90">
        <v>0.26789999999999997</v>
      </c>
      <c r="QP50" s="90">
        <v>0.17860000000000001</v>
      </c>
      <c r="QQ50" s="97">
        <f t="shared" si="267"/>
        <v>419.53139999999996</v>
      </c>
      <c r="QR50" s="97">
        <v>417.8347</v>
      </c>
      <c r="QS50" s="97">
        <f t="shared" si="268"/>
        <v>1.6966999999999643</v>
      </c>
      <c r="QT50" s="90"/>
      <c r="QU50" s="90">
        <f t="shared" si="269"/>
        <v>0.14560000000000001</v>
      </c>
      <c r="QV50" s="90">
        <f t="shared" si="270"/>
        <v>136.80575999999999</v>
      </c>
      <c r="QW50" s="90">
        <f t="shared" si="271"/>
        <v>419.53139999999996</v>
      </c>
      <c r="QX50" s="90">
        <f t="shared" si="272"/>
        <v>0.44650000000000001</v>
      </c>
      <c r="QY50" s="90"/>
      <c r="QZ50" s="90"/>
      <c r="RA50" s="90"/>
      <c r="RB50" s="90">
        <v>4099.1400000000003</v>
      </c>
      <c r="RC50" s="97">
        <f t="shared" si="273"/>
        <v>14420.967993545599</v>
      </c>
      <c r="RD50" s="97">
        <f t="shared" si="274"/>
        <v>15.35</v>
      </c>
      <c r="RE50" s="90">
        <f t="shared" si="275"/>
        <v>17918.07</v>
      </c>
      <c r="RF50" s="90">
        <f t="shared" si="276"/>
        <v>19.07</v>
      </c>
      <c r="RG50" s="90">
        <f t="shared" si="277"/>
        <v>124.3155149934811</v>
      </c>
      <c r="RH50" s="90">
        <f t="shared" si="278"/>
        <v>17918.07</v>
      </c>
      <c r="RI50" s="90">
        <f t="shared" si="279"/>
        <v>19.07</v>
      </c>
      <c r="RJ50" s="90">
        <v>18.790000000000003</v>
      </c>
      <c r="RK50" s="90">
        <v>0</v>
      </c>
      <c r="RL50" s="90">
        <f t="shared" si="280"/>
        <v>0.27999999999999758</v>
      </c>
      <c r="RM50" s="90">
        <f t="shared" si="281"/>
        <v>105.35911602209947</v>
      </c>
      <c r="RN50" s="90">
        <f t="shared" si="282"/>
        <v>10416.807993545601</v>
      </c>
      <c r="RO50" s="90"/>
      <c r="RP50" s="90"/>
      <c r="RQ50" s="99">
        <v>3351</v>
      </c>
      <c r="RR50" s="90">
        <f t="shared" si="283"/>
        <v>10474.647993545599</v>
      </c>
      <c r="RS50" s="90">
        <f t="shared" si="284"/>
        <v>11.147986370312474</v>
      </c>
      <c r="RT50" s="20">
        <v>14.56</v>
      </c>
      <c r="RU50" s="90">
        <f t="shared" si="285"/>
        <v>13680.575999999999</v>
      </c>
      <c r="RV50" s="90">
        <f t="shared" si="286"/>
        <v>0.31478596803788844</v>
      </c>
      <c r="RW50" s="20">
        <v>13.49</v>
      </c>
      <c r="RX50" s="90">
        <f t="shared" si="287"/>
        <v>14.1645</v>
      </c>
      <c r="RY50" s="90">
        <f t="shared" si="288"/>
        <v>13308.964199999999</v>
      </c>
      <c r="RZ50" s="90">
        <f t="shared" si="289"/>
        <v>4115.8520138026433</v>
      </c>
      <c r="SA50" s="90">
        <f t="shared" si="290"/>
        <v>1226.0393111030758</v>
      </c>
      <c r="SB50" s="90">
        <f t="shared" si="291"/>
        <v>1226.0396311120435</v>
      </c>
      <c r="SC50" s="90">
        <f t="shared" si="292"/>
        <v>4115.8520138026433</v>
      </c>
      <c r="SD50" s="90">
        <f t="shared" si="293"/>
        <v>4115.8523338116111</v>
      </c>
      <c r="SE50" s="90">
        <f t="shared" si="294"/>
        <v>4115.846232292879</v>
      </c>
      <c r="SF50" s="90">
        <f t="shared" si="295"/>
        <v>4102.0496539070391</v>
      </c>
      <c r="SG50" s="90">
        <f t="shared" si="296"/>
        <v>13.802359895604241</v>
      </c>
      <c r="SH50" s="90">
        <f t="shared" si="297"/>
        <v>4115.8520129663993</v>
      </c>
      <c r="SI50" s="90">
        <f t="shared" si="298"/>
        <v>4.380430325469999</v>
      </c>
      <c r="SJ50" s="100">
        <f t="shared" si="299"/>
        <v>4.3657403723999995</v>
      </c>
      <c r="SK50" s="100"/>
      <c r="SL50" s="100"/>
      <c r="SM50" s="90"/>
      <c r="SN50" s="90">
        <f t="shared" si="300"/>
        <v>4167.7000000000007</v>
      </c>
      <c r="SO50" s="90" t="e">
        <f>RU50-#REF!-#REF!-HZ50-LT50-LZ50-MF50-ML50-QL50-QN50-SD50</f>
        <v>#REF!</v>
      </c>
      <c r="SP50" s="90">
        <f t="shared" si="301"/>
        <v>4115.7700000000004</v>
      </c>
      <c r="SQ50" s="90">
        <f t="shared" si="302"/>
        <v>4340.9479935456002</v>
      </c>
      <c r="SR50" s="90">
        <f t="shared" si="303"/>
        <v>4.3803426990208605</v>
      </c>
      <c r="SS50" s="90">
        <f t="shared" si="304"/>
        <v>4.6199957360000008</v>
      </c>
      <c r="ST50" s="90">
        <f t="shared" si="305"/>
        <v>4346.3919999999998</v>
      </c>
      <c r="SU50" s="90">
        <v>4.3803590510792914</v>
      </c>
      <c r="SV50" s="90">
        <f t="shared" si="306"/>
        <v>4.63</v>
      </c>
      <c r="SW50" s="90">
        <v>4.62</v>
      </c>
      <c r="SX50" s="90">
        <f t="shared" si="307"/>
        <v>4340.95</v>
      </c>
      <c r="SY50" s="90">
        <v>4.3804445394315028</v>
      </c>
      <c r="SZ50" s="90">
        <f t="shared" si="308"/>
        <v>4115.8656892498393</v>
      </c>
      <c r="TA50" s="90">
        <f t="shared" si="309"/>
        <v>9.5689249838869728E-2</v>
      </c>
      <c r="TB50" s="90">
        <v>0</v>
      </c>
      <c r="TC50" s="90">
        <f t="shared" si="310"/>
        <v>4071.3265999999994</v>
      </c>
      <c r="TD50" s="90" t="e">
        <f>#REF!+#REF!</f>
        <v>#REF!</v>
      </c>
      <c r="TE50" s="90" t="e">
        <f t="shared" si="311"/>
        <v>#REF!</v>
      </c>
      <c r="TF50" s="90">
        <v>3931.5392999999985</v>
      </c>
      <c r="TG50" s="90">
        <f t="shared" si="312"/>
        <v>29.759906308038492</v>
      </c>
      <c r="TH50" s="95"/>
      <c r="TI50" s="95"/>
      <c r="TJ50" s="95"/>
      <c r="TK50" s="95"/>
      <c r="TL50" s="95"/>
      <c r="TM50" s="95">
        <f t="shared" si="313"/>
        <v>0</v>
      </c>
      <c r="TN50" s="95">
        <f t="shared" si="314"/>
        <v>13680.575999999999</v>
      </c>
      <c r="TO50" s="95">
        <f t="shared" si="315"/>
        <v>29.759906308038492</v>
      </c>
      <c r="TP50" s="95"/>
      <c r="TQ50" s="95">
        <f t="shared" si="316"/>
        <v>14.56</v>
      </c>
      <c r="TR50" s="95"/>
      <c r="TS50" s="95"/>
      <c r="TT50" s="95"/>
      <c r="TU50" s="95"/>
      <c r="TV50" s="95"/>
      <c r="TW50" s="95"/>
      <c r="TX50" s="95"/>
      <c r="TY50" s="95"/>
      <c r="TZ50" s="95">
        <f t="shared" si="317"/>
        <v>3.0666208791208791</v>
      </c>
      <c r="UA50" s="95">
        <f t="shared" si="318"/>
        <v>0.6406400000000001</v>
      </c>
      <c r="UB50" s="90">
        <v>0</v>
      </c>
      <c r="UC50" s="90">
        <f t="shared" si="319"/>
        <v>0</v>
      </c>
      <c r="UD50" s="90">
        <f t="shared" si="320"/>
        <v>0</v>
      </c>
      <c r="UE50" s="90">
        <f t="shared" si="321"/>
        <v>0</v>
      </c>
      <c r="UF50" s="90">
        <f t="shared" si="322"/>
        <v>13680.575999999999</v>
      </c>
      <c r="UG50" s="91">
        <f t="shared" si="323"/>
        <v>0</v>
      </c>
      <c r="UH50" s="95">
        <f t="shared" si="324"/>
        <v>29.759906308038492</v>
      </c>
      <c r="UI50" s="95">
        <f t="shared" si="325"/>
        <v>13680.575999999999</v>
      </c>
      <c r="UJ50" s="101">
        <f t="shared" si="326"/>
        <v>0</v>
      </c>
      <c r="UK50" s="101">
        <f t="shared" si="327"/>
        <v>29.759906308038492</v>
      </c>
      <c r="UL50" s="90" t="e">
        <f>(#REF!+#REF!+HZ50+LT50+LZ50+MF50+ML50+QL50+QN50+SN50+TC50+TM50+UC50)/I50</f>
        <v>#REF!</v>
      </c>
      <c r="UN50" s="90" t="e">
        <f>#REF!/I50</f>
        <v>#REF!</v>
      </c>
      <c r="UO50" s="90" t="e">
        <f>#REF!/I50</f>
        <v>#REF!</v>
      </c>
      <c r="UP50" s="90">
        <v>1.1499999999999999</v>
      </c>
      <c r="UQ50" s="90" t="e">
        <f t="shared" si="328"/>
        <v>#REF!</v>
      </c>
      <c r="UR50" s="90">
        <f t="shared" si="329"/>
        <v>10474.647993545599</v>
      </c>
      <c r="US50" s="90">
        <f t="shared" si="330"/>
        <v>12736.141666666666</v>
      </c>
      <c r="UT50" s="90">
        <f t="shared" si="331"/>
        <v>12736.141666666666</v>
      </c>
      <c r="UU50" s="90">
        <f t="shared" si="516"/>
        <v>13168.361666666666</v>
      </c>
      <c r="UV50" s="90">
        <f t="shared" si="333"/>
        <v>13022.75</v>
      </c>
      <c r="UW50" s="90">
        <f t="shared" si="334"/>
        <v>6.46</v>
      </c>
      <c r="UX50" s="90">
        <f t="shared" si="335"/>
        <v>4.62</v>
      </c>
      <c r="UY50" s="90">
        <f t="shared" si="336"/>
        <v>4.4356108982545779</v>
      </c>
      <c r="UZ50" s="100">
        <f t="shared" si="337"/>
        <v>4.380430325469999</v>
      </c>
      <c r="VA50" s="90">
        <f t="shared" si="338"/>
        <v>0.57999999999999996</v>
      </c>
      <c r="VB50" s="90">
        <f t="shared" si="339"/>
        <v>1.26</v>
      </c>
      <c r="VC50" s="90">
        <f t="shared" si="340"/>
        <v>0</v>
      </c>
      <c r="VD50" s="90">
        <f t="shared" si="341"/>
        <v>0</v>
      </c>
      <c r="VE50" s="90">
        <f t="shared" si="342"/>
        <v>0</v>
      </c>
      <c r="VF50" s="90">
        <f t="shared" si="343"/>
        <v>0</v>
      </c>
      <c r="VG50" s="90">
        <f t="shared" si="344"/>
        <v>0</v>
      </c>
      <c r="VH50" s="90">
        <f t="shared" si="345"/>
        <v>0</v>
      </c>
      <c r="VI50" s="90">
        <f t="shared" si="346"/>
        <v>0</v>
      </c>
      <c r="VJ50" s="90">
        <f t="shared" si="347"/>
        <v>0</v>
      </c>
      <c r="VK50" s="90">
        <f t="shared" si="348"/>
        <v>0.86</v>
      </c>
      <c r="VL50" s="90">
        <f t="shared" si="349"/>
        <v>4.09</v>
      </c>
      <c r="VM50" s="90">
        <f t="shared" si="350"/>
        <v>4.2</v>
      </c>
      <c r="VN50" s="90">
        <f t="shared" si="351"/>
        <v>0</v>
      </c>
      <c r="VO50" s="90">
        <f t="shared" si="352"/>
        <v>4.2</v>
      </c>
      <c r="VP50" s="97">
        <v>0</v>
      </c>
      <c r="VQ50" s="97">
        <v>4.2</v>
      </c>
      <c r="VR50" s="90">
        <f t="shared" si="353"/>
        <v>0.44</v>
      </c>
      <c r="VS50" s="90">
        <f t="shared" si="354"/>
        <v>0.15</v>
      </c>
      <c r="VT50" s="90">
        <v>0.11989898989898991</v>
      </c>
      <c r="VU50" s="90">
        <f t="shared" si="355"/>
        <v>0.15340000000000001</v>
      </c>
      <c r="VV50" s="90">
        <v>0.38175323599898991</v>
      </c>
      <c r="VW50" s="90">
        <f t="shared" si="356"/>
        <v>0.59</v>
      </c>
      <c r="VX50" s="90">
        <f t="shared" si="357"/>
        <v>15.34</v>
      </c>
      <c r="VY50" s="90">
        <f t="shared" si="358"/>
        <v>15.34</v>
      </c>
      <c r="VZ50" s="90">
        <f t="shared" si="359"/>
        <v>0</v>
      </c>
      <c r="WA50" s="90"/>
      <c r="WB50" s="90">
        <f t="shared" si="360"/>
        <v>15.34</v>
      </c>
      <c r="WC50" s="90">
        <f t="shared" si="361"/>
        <v>0</v>
      </c>
      <c r="WD50" s="90"/>
      <c r="WE50" s="90">
        <v>15.34</v>
      </c>
      <c r="WF50" s="90"/>
      <c r="WG50" s="90">
        <f t="shared" si="362"/>
        <v>14413.463999999998</v>
      </c>
      <c r="WH50" s="90">
        <f t="shared" si="363"/>
        <v>14413.463999999998</v>
      </c>
      <c r="WI50" s="90">
        <f t="shared" si="364"/>
        <v>14420.967993545599</v>
      </c>
      <c r="WJ50" s="90">
        <f t="shared" si="365"/>
        <v>10474.647993545599</v>
      </c>
      <c r="WK50" s="97">
        <v>3930.36</v>
      </c>
      <c r="WL50" s="97">
        <v>4.2</v>
      </c>
      <c r="WM50" s="90">
        <f t="shared" si="366"/>
        <v>3946.32</v>
      </c>
      <c r="WN50" s="90">
        <f t="shared" si="367"/>
        <v>4.2</v>
      </c>
      <c r="WO50" s="90"/>
      <c r="WP50" s="97">
        <v>15.34</v>
      </c>
      <c r="WQ50" s="90">
        <f t="shared" si="368"/>
        <v>15.34</v>
      </c>
      <c r="WR50" s="91">
        <f t="shared" si="369"/>
        <v>105.35714285714286</v>
      </c>
      <c r="WS50" s="91">
        <f t="shared" si="370"/>
        <v>105.35714285714286</v>
      </c>
      <c r="WT50" s="90">
        <f t="shared" si="371"/>
        <v>14413.46</v>
      </c>
      <c r="WU50" s="90">
        <f t="shared" si="372"/>
        <v>14420.967993545599</v>
      </c>
      <c r="WV50" s="90">
        <f t="shared" si="373"/>
        <v>-7.5079935455996747</v>
      </c>
      <c r="WW50" s="90"/>
      <c r="WX50" s="90"/>
      <c r="WY50" s="90"/>
      <c r="WZ50" s="90">
        <f t="shared" si="374"/>
        <v>4.2228454545454541</v>
      </c>
      <c r="XA50" s="90">
        <v>0</v>
      </c>
      <c r="XB50" s="90">
        <f t="shared" si="375"/>
        <v>4.2228454545454541</v>
      </c>
      <c r="XC50" s="90">
        <f t="shared" si="376"/>
        <v>0.4617</v>
      </c>
      <c r="XD50" s="90">
        <f t="shared" si="377"/>
        <v>0.15545454545454546</v>
      </c>
      <c r="XE50" s="90"/>
      <c r="XF50" s="90">
        <f t="shared" si="378"/>
        <v>15.39</v>
      </c>
      <c r="XG50" s="90">
        <v>4.2012602051720442</v>
      </c>
      <c r="XH50" s="20">
        <v>14.56</v>
      </c>
      <c r="XI50" s="20">
        <v>0</v>
      </c>
      <c r="XJ50" s="20"/>
      <c r="XK50" s="20"/>
      <c r="XL50" s="20"/>
      <c r="XM50" s="20">
        <f t="shared" si="379"/>
        <v>14.56</v>
      </c>
      <c r="XN50" s="91">
        <f t="shared" si="380"/>
        <v>105.35714285714286</v>
      </c>
      <c r="XO50" s="20">
        <f t="shared" si="381"/>
        <v>14.56</v>
      </c>
      <c r="XP50" s="90">
        <f t="shared" si="382"/>
        <v>14.56</v>
      </c>
      <c r="XQ50" s="91">
        <f t="shared" si="383"/>
        <v>105.35714285714286</v>
      </c>
      <c r="XR50" s="102"/>
      <c r="XS50" s="90">
        <f t="shared" si="384"/>
        <v>4.09</v>
      </c>
      <c r="XT50" s="90">
        <f t="shared" si="385"/>
        <v>6.46</v>
      </c>
      <c r="XU50" s="90">
        <f t="shared" si="386"/>
        <v>4.62</v>
      </c>
      <c r="XV50" s="90">
        <f t="shared" si="387"/>
        <v>0.57999999999999996</v>
      </c>
      <c r="XW50" s="90">
        <f t="shared" si="388"/>
        <v>0.57999999999999996</v>
      </c>
      <c r="XX50" s="90">
        <f t="shared" si="389"/>
        <v>0</v>
      </c>
      <c r="XY50" s="90">
        <f t="shared" si="390"/>
        <v>1.26</v>
      </c>
      <c r="XZ50" s="90">
        <f t="shared" si="391"/>
        <v>0</v>
      </c>
      <c r="YA50" s="90">
        <f t="shared" si="392"/>
        <v>0</v>
      </c>
      <c r="YB50" s="90">
        <f t="shared" si="552"/>
        <v>0</v>
      </c>
      <c r="YC50" s="90">
        <f t="shared" si="552"/>
        <v>0</v>
      </c>
      <c r="YD50" s="90">
        <f t="shared" si="394"/>
        <v>1.26</v>
      </c>
      <c r="YE50" s="90">
        <f t="shared" si="395"/>
        <v>4.2</v>
      </c>
      <c r="YF50" s="90">
        <f t="shared" si="396"/>
        <v>0.59</v>
      </c>
      <c r="YG50" s="90">
        <f t="shared" si="397"/>
        <v>15.34</v>
      </c>
      <c r="YI50" s="103" t="s">
        <v>548</v>
      </c>
      <c r="YK50" s="90">
        <f t="shared" si="398"/>
        <v>1.07</v>
      </c>
      <c r="YL50" s="90">
        <f t="shared" si="553"/>
        <v>0.57999999999999996</v>
      </c>
      <c r="YM50" s="90">
        <f t="shared" si="553"/>
        <v>1.26</v>
      </c>
      <c r="YN50" s="90">
        <f t="shared" si="400"/>
        <v>4.09</v>
      </c>
      <c r="YO50" s="90">
        <f t="shared" si="401"/>
        <v>8.34</v>
      </c>
      <c r="YP50" s="90">
        <f t="shared" si="402"/>
        <v>0</v>
      </c>
      <c r="YQ50" s="90">
        <f t="shared" si="403"/>
        <v>15.34</v>
      </c>
      <c r="YR50" s="90">
        <f t="shared" si="404"/>
        <v>0</v>
      </c>
      <c r="YS50" s="104">
        <f t="shared" si="405"/>
        <v>15.34</v>
      </c>
      <c r="YT50" s="104">
        <f t="shared" si="406"/>
        <v>0</v>
      </c>
      <c r="YY50" s="90">
        <f t="shared" si="407"/>
        <v>8.2100000000000009</v>
      </c>
      <c r="YZ50" s="90">
        <f t="shared" si="408"/>
        <v>4.9800000000000004</v>
      </c>
      <c r="ZA50" s="90">
        <f t="shared" si="409"/>
        <v>0.62</v>
      </c>
      <c r="ZB50" s="90">
        <f t="shared" si="410"/>
        <v>2.61</v>
      </c>
      <c r="ZC50" s="90">
        <f t="shared" si="411"/>
        <v>0</v>
      </c>
      <c r="ZD50" s="90">
        <f t="shared" si="412"/>
        <v>0</v>
      </c>
      <c r="ZE50" s="90">
        <f t="shared" si="413"/>
        <v>0</v>
      </c>
      <c r="ZF50" s="90">
        <f t="shared" si="414"/>
        <v>0</v>
      </c>
      <c r="ZG50" s="90">
        <f t="shared" si="415"/>
        <v>0</v>
      </c>
      <c r="ZH50" s="90">
        <f t="shared" si="416"/>
        <v>0</v>
      </c>
      <c r="ZI50" s="90">
        <f t="shared" si="417"/>
        <v>0</v>
      </c>
      <c r="ZJ50" s="90">
        <f t="shared" si="418"/>
        <v>0</v>
      </c>
      <c r="ZK50" s="90">
        <f t="shared" si="419"/>
        <v>0</v>
      </c>
      <c r="ZL50" s="90">
        <f t="shared" si="420"/>
        <v>0</v>
      </c>
      <c r="ZM50" s="90">
        <f t="shared" si="421"/>
        <v>4.6100000000000003</v>
      </c>
      <c r="ZN50" s="90">
        <f t="shared" si="422"/>
        <v>7.3599999999999994</v>
      </c>
      <c r="ZO50" s="90">
        <f t="shared" si="423"/>
        <v>5.46</v>
      </c>
      <c r="ZP50" s="90">
        <f t="shared" si="424"/>
        <v>4.75</v>
      </c>
      <c r="ZQ50" s="90">
        <f t="shared" si="425"/>
        <v>0</v>
      </c>
      <c r="ZR50" s="90">
        <f t="shared" si="426"/>
        <v>4.75</v>
      </c>
      <c r="ZS50" s="97">
        <v>227</v>
      </c>
      <c r="ZT50" s="97">
        <v>230.38</v>
      </c>
      <c r="ZU50" s="90">
        <f t="shared" si="427"/>
        <v>0.55000000000000004</v>
      </c>
      <c r="ZV50" s="90">
        <f t="shared" si="428"/>
        <v>0.19</v>
      </c>
      <c r="ZW50" s="90">
        <v>0.11989898989898991</v>
      </c>
      <c r="ZX50" s="90">
        <f t="shared" si="429"/>
        <v>0.18309999999999998</v>
      </c>
      <c r="ZY50" s="90">
        <v>0.38175323599898991</v>
      </c>
      <c r="ZZ50" s="90">
        <f t="shared" si="430"/>
        <v>0.74</v>
      </c>
      <c r="AAA50" s="90">
        <f t="shared" si="431"/>
        <v>18.309999999999999</v>
      </c>
      <c r="AAB50" s="90">
        <f t="shared" si="432"/>
        <v>18.309999999999999</v>
      </c>
      <c r="AAC50" s="90">
        <f t="shared" si="433"/>
        <v>0</v>
      </c>
      <c r="AAD50" s="90"/>
      <c r="AAE50" s="90">
        <f t="shared" si="434"/>
        <v>18.309999999999999</v>
      </c>
      <c r="AAF50" s="90">
        <v>15.34</v>
      </c>
      <c r="AAG50" s="90">
        <f t="shared" si="435"/>
        <v>119.361147327249</v>
      </c>
      <c r="AAH50" s="90">
        <f t="shared" si="436"/>
        <v>0</v>
      </c>
      <c r="AAI50" s="90">
        <v>0</v>
      </c>
      <c r="AAJ50" s="90"/>
      <c r="AAK50" s="1">
        <v>18.09</v>
      </c>
      <c r="AAL50" s="104">
        <f t="shared" si="437"/>
        <v>0.21999999999999886</v>
      </c>
      <c r="AAM50" s="103" t="s">
        <v>483</v>
      </c>
      <c r="AAN50" s="105">
        <v>8.26</v>
      </c>
      <c r="AAO50" s="90">
        <f t="shared" si="438"/>
        <v>8.9700000000000006</v>
      </c>
      <c r="AAP50" s="90">
        <v>4.97</v>
      </c>
      <c r="AAQ50" s="90">
        <f t="shared" si="439"/>
        <v>4.9800000000000004</v>
      </c>
      <c r="AAR50" s="90">
        <v>0.62</v>
      </c>
      <c r="AAS50" s="90">
        <f t="shared" si="440"/>
        <v>0.92</v>
      </c>
      <c r="AAT50" s="90">
        <f t="shared" si="441"/>
        <v>148.38709677419354</v>
      </c>
      <c r="AAU50" s="90">
        <v>2.67</v>
      </c>
      <c r="AAV50" s="90">
        <f t="shared" si="442"/>
        <v>2.61</v>
      </c>
      <c r="AAW50" s="90">
        <f t="shared" si="443"/>
        <v>97.752808988764045</v>
      </c>
      <c r="AAX50" s="90">
        <f t="shared" si="444"/>
        <v>0.46</v>
      </c>
      <c r="AAY50" s="90">
        <f t="shared" si="445"/>
        <v>0</v>
      </c>
      <c r="AAZ50" s="90">
        <f t="shared" si="446"/>
        <v>0</v>
      </c>
      <c r="ABA50" s="90">
        <f t="shared" si="447"/>
        <v>0</v>
      </c>
      <c r="ABB50" s="90">
        <f t="shared" si="448"/>
        <v>0</v>
      </c>
      <c r="ABC50" s="90">
        <v>0</v>
      </c>
      <c r="ABD50" s="90">
        <f t="shared" si="449"/>
        <v>0</v>
      </c>
      <c r="ABE50" s="90"/>
      <c r="ABF50" s="90">
        <v>0</v>
      </c>
      <c r="ABG50" s="90">
        <f t="shared" si="450"/>
        <v>0</v>
      </c>
      <c r="ABH50" s="90"/>
      <c r="ABI50" s="90">
        <f t="shared" si="451"/>
        <v>0</v>
      </c>
      <c r="ABJ50" s="90">
        <f t="shared" si="452"/>
        <v>0</v>
      </c>
      <c r="ABK50" s="90">
        <v>0</v>
      </c>
      <c r="ABL50" s="90">
        <f t="shared" si="453"/>
        <v>0</v>
      </c>
      <c r="ABM50" s="90">
        <f t="shared" si="454"/>
        <v>0</v>
      </c>
      <c r="ABN50" s="90">
        <f t="shared" si="455"/>
        <v>0</v>
      </c>
      <c r="ABO50" s="90">
        <v>4.3899999999999997</v>
      </c>
      <c r="ABP50" s="90">
        <f t="shared" si="456"/>
        <v>4.6100000000000003</v>
      </c>
      <c r="ABQ50" s="90">
        <f t="shared" si="457"/>
        <v>105.01138952164011</v>
      </c>
      <c r="ABR50" s="90">
        <f t="shared" si="458"/>
        <v>7.3599999999999994</v>
      </c>
      <c r="ABS50" s="90">
        <f t="shared" si="459"/>
        <v>5.46</v>
      </c>
      <c r="ABT50" s="90">
        <v>4.75</v>
      </c>
      <c r="ABU50" s="90">
        <f t="shared" si="460"/>
        <v>4.75</v>
      </c>
      <c r="ABV50" s="90">
        <f t="shared" si="461"/>
        <v>100</v>
      </c>
      <c r="ABW50" s="90">
        <f t="shared" si="462"/>
        <v>0</v>
      </c>
      <c r="ABX50" s="90">
        <f t="shared" si="463"/>
        <v>4.75</v>
      </c>
      <c r="ABY50" s="97">
        <v>227</v>
      </c>
      <c r="ABZ50" s="97">
        <v>230.38</v>
      </c>
      <c r="ACA50" s="90">
        <f t="shared" si="464"/>
        <v>0.55000000000000004</v>
      </c>
      <c r="ACB50" s="90">
        <f t="shared" si="465"/>
        <v>0.19</v>
      </c>
      <c r="ACC50" s="90">
        <v>0.11989898989898991</v>
      </c>
      <c r="ACD50" s="90">
        <f t="shared" si="466"/>
        <v>0.18609999999999999</v>
      </c>
      <c r="ACE50" s="90">
        <v>0.38175323599898991</v>
      </c>
      <c r="ACF50" s="90">
        <v>0.7</v>
      </c>
      <c r="ACG50" s="90">
        <f t="shared" si="467"/>
        <v>0.74</v>
      </c>
      <c r="ACH50" s="90">
        <f t="shared" si="468"/>
        <v>105.71428571428572</v>
      </c>
      <c r="ACI50" s="90">
        <f t="shared" si="469"/>
        <v>19.07</v>
      </c>
      <c r="ACJ50" s="90">
        <f t="shared" si="470"/>
        <v>18.61</v>
      </c>
      <c r="ACK50" s="90">
        <f t="shared" si="471"/>
        <v>-0.46000000000000085</v>
      </c>
      <c r="ACL50" s="90"/>
      <c r="ACM50" s="90">
        <f t="shared" si="472"/>
        <v>19.07</v>
      </c>
      <c r="ACN50" s="90">
        <f t="shared" si="473"/>
        <v>0</v>
      </c>
      <c r="ACO50" s="90">
        <f t="shared" si="474"/>
        <v>19.07</v>
      </c>
      <c r="ACP50" s="90">
        <v>18.099999999999998</v>
      </c>
      <c r="ACQ50" s="90">
        <f t="shared" si="475"/>
        <v>105.35911602209947</v>
      </c>
      <c r="ACR50" s="90">
        <f t="shared" si="476"/>
        <v>0</v>
      </c>
      <c r="ACS50" s="90">
        <v>0</v>
      </c>
      <c r="ACT50" s="90"/>
      <c r="ACU50" s="90">
        <f t="shared" si="477"/>
        <v>19.023099999999996</v>
      </c>
      <c r="ACV50" s="90">
        <f t="shared" si="478"/>
        <v>-4.6900000000004383E-2</v>
      </c>
      <c r="ACX50" s="106" t="s">
        <v>549</v>
      </c>
      <c r="ACY50" s="107">
        <f>12500+60000</f>
        <v>72500</v>
      </c>
      <c r="ACZ50" s="107">
        <f>60000+40000</f>
        <v>100000</v>
      </c>
      <c r="ADB50" s="90">
        <f t="shared" si="479"/>
        <v>4.6100000000000003</v>
      </c>
      <c r="ADC50" s="90">
        <f t="shared" si="480"/>
        <v>8.9700000000000006</v>
      </c>
      <c r="ADD50" s="90">
        <f t="shared" si="481"/>
        <v>4.9800000000000004</v>
      </c>
      <c r="ADE50" s="90">
        <f t="shared" si="517"/>
        <v>1.3800000000000001</v>
      </c>
      <c r="ADF50" s="90">
        <f t="shared" si="483"/>
        <v>0.92</v>
      </c>
      <c r="ADG50" s="90">
        <f t="shared" si="554"/>
        <v>0.46</v>
      </c>
      <c r="ADH50" s="90">
        <f t="shared" si="554"/>
        <v>0</v>
      </c>
      <c r="ADI50" s="90">
        <f t="shared" si="554"/>
        <v>0</v>
      </c>
      <c r="ADJ50" s="90">
        <f t="shared" si="485"/>
        <v>2.61</v>
      </c>
      <c r="ADK50" s="90">
        <f t="shared" si="486"/>
        <v>0</v>
      </c>
      <c r="ADL50" s="90">
        <f t="shared" si="487"/>
        <v>0</v>
      </c>
      <c r="ADM50" s="90">
        <f t="shared" si="555"/>
        <v>0</v>
      </c>
      <c r="ADN50" s="90">
        <f t="shared" si="555"/>
        <v>0</v>
      </c>
      <c r="ADO50" s="90">
        <f t="shared" si="489"/>
        <v>2.61</v>
      </c>
      <c r="ADP50" s="90">
        <f t="shared" si="490"/>
        <v>4.75</v>
      </c>
      <c r="ADQ50" s="90">
        <f t="shared" si="491"/>
        <v>0.74</v>
      </c>
      <c r="ADR50" s="90">
        <f t="shared" si="492"/>
        <v>19.07</v>
      </c>
      <c r="ADU50" s="90">
        <f t="shared" si="493"/>
        <v>1.1499999999999999</v>
      </c>
      <c r="ADV50" s="90">
        <f t="shared" si="494"/>
        <v>0.92</v>
      </c>
      <c r="ADW50" s="90">
        <f t="shared" si="495"/>
        <v>2.61</v>
      </c>
      <c r="ADX50" s="90">
        <f t="shared" si="496"/>
        <v>4.6100000000000003</v>
      </c>
      <c r="ADY50" s="90">
        <f t="shared" si="497"/>
        <v>9.32</v>
      </c>
      <c r="ADZ50" s="90">
        <f t="shared" si="498"/>
        <v>0</v>
      </c>
      <c r="AEA50" s="90">
        <f t="shared" si="499"/>
        <v>19.07</v>
      </c>
      <c r="AEB50" s="90">
        <f t="shared" si="500"/>
        <v>0</v>
      </c>
      <c r="AEC50" s="104">
        <f t="shared" si="501"/>
        <v>18.61</v>
      </c>
      <c r="AED50" s="104">
        <f t="shared" si="502"/>
        <v>0.46000000000000085</v>
      </c>
      <c r="AEG50" s="1">
        <v>8.26</v>
      </c>
      <c r="AEH50" s="1">
        <v>4.97</v>
      </c>
      <c r="AEI50" s="1">
        <v>0.62</v>
      </c>
      <c r="AEJ50" s="1">
        <v>2.67</v>
      </c>
      <c r="AEK50" s="1">
        <v>0</v>
      </c>
      <c r="AEL50" s="1">
        <v>0</v>
      </c>
      <c r="AEM50" s="1">
        <v>0</v>
      </c>
      <c r="AEN50" s="1">
        <v>0</v>
      </c>
      <c r="AEO50" s="1">
        <v>0</v>
      </c>
      <c r="AEP50" s="1">
        <v>0</v>
      </c>
      <c r="AEQ50" s="1">
        <v>0</v>
      </c>
      <c r="AER50" s="1">
        <v>0</v>
      </c>
      <c r="AES50" s="1">
        <v>0</v>
      </c>
      <c r="AET50" s="1">
        <v>0</v>
      </c>
      <c r="AEU50" s="1">
        <v>0</v>
      </c>
      <c r="AEV50" s="1">
        <v>0</v>
      </c>
      <c r="AEW50" s="1">
        <v>4.3899999999999997</v>
      </c>
      <c r="AEX50" s="1">
        <v>7.42</v>
      </c>
      <c r="AEY50" s="1">
        <v>5.46</v>
      </c>
      <c r="AEZ50" s="1">
        <v>4.75</v>
      </c>
      <c r="AFA50" s="1">
        <v>0</v>
      </c>
      <c r="AFB50" s="1">
        <v>4.75</v>
      </c>
      <c r="AFC50" s="1">
        <v>227</v>
      </c>
      <c r="AFD50" s="1">
        <v>230.38</v>
      </c>
      <c r="AFE50" s="1">
        <v>0.52</v>
      </c>
      <c r="AFF50" s="1">
        <v>0.18</v>
      </c>
      <c r="AFG50" s="1">
        <v>0.11989898989898991</v>
      </c>
      <c r="AFH50" s="1">
        <v>0.18099999999999999</v>
      </c>
      <c r="AFI50" s="1">
        <v>0.38175323599898991</v>
      </c>
      <c r="AFJ50" s="1">
        <v>0.7</v>
      </c>
      <c r="AFK50" s="1">
        <v>18.099999999999998</v>
      </c>
      <c r="AFL50" s="1">
        <v>18.099999999999998</v>
      </c>
      <c r="AFM50" s="1">
        <v>0</v>
      </c>
      <c r="AFO50" s="1">
        <v>18.099999999999998</v>
      </c>
      <c r="AFP50" s="1">
        <v>0</v>
      </c>
      <c r="AFQ50" s="1">
        <v>18.09</v>
      </c>
      <c r="AFX50" s="1">
        <v>18.79</v>
      </c>
    </row>
    <row r="51" spans="1:856" s="1" customFormat="1" ht="63.75" customHeight="1">
      <c r="A51" s="88">
        <v>43</v>
      </c>
      <c r="B51" s="20"/>
      <c r="C51" s="89" t="s">
        <v>550</v>
      </c>
      <c r="D51" s="20"/>
      <c r="E51" s="20" t="s">
        <v>536</v>
      </c>
      <c r="F51" s="20" t="s">
        <v>537</v>
      </c>
      <c r="G51" s="20">
        <v>1.2</v>
      </c>
      <c r="H51" s="20">
        <v>927.9</v>
      </c>
      <c r="I51" s="20">
        <f>927.9+1.4</f>
        <v>929.3</v>
      </c>
      <c r="J51" s="20">
        <f t="shared" si="0"/>
        <v>1115.1599999999999</v>
      </c>
      <c r="K51" s="20">
        <v>18</v>
      </c>
      <c r="L51" s="20">
        <v>36</v>
      </c>
      <c r="M51" s="20">
        <v>42</v>
      </c>
      <c r="N51" s="20">
        <v>1035.8599999999999</v>
      </c>
      <c r="O51" s="90">
        <f t="shared" si="1"/>
        <v>1.1100000000000001</v>
      </c>
      <c r="P51" s="20">
        <v>3456</v>
      </c>
      <c r="Q51" s="90">
        <f>P51/12</f>
        <v>288</v>
      </c>
      <c r="R51" s="90">
        <f t="shared" si="2"/>
        <v>0.31</v>
      </c>
      <c r="S51" s="20">
        <v>86</v>
      </c>
      <c r="T51" s="20">
        <v>2.6</v>
      </c>
      <c r="U51" s="20">
        <v>3.13</v>
      </c>
      <c r="V51" s="91">
        <f t="shared" si="3"/>
        <v>699.87</v>
      </c>
      <c r="W51" s="20">
        <v>2.1000000000000001E-2</v>
      </c>
      <c r="X51" s="20">
        <f t="shared" si="4"/>
        <v>33.42</v>
      </c>
      <c r="Y51" s="91">
        <f t="shared" si="5"/>
        <v>60.36</v>
      </c>
      <c r="Z51" s="20">
        <v>1.7999999999999999E-2</v>
      </c>
      <c r="AA51" s="20">
        <f t="shared" si="561"/>
        <v>171.12</v>
      </c>
      <c r="AB51" s="91">
        <f t="shared" si="562"/>
        <v>264.89</v>
      </c>
      <c r="AC51" s="91">
        <f t="shared" si="6"/>
        <v>1025.1199999999999</v>
      </c>
      <c r="AD51" s="90">
        <f t="shared" si="7"/>
        <v>1.1000000000000001</v>
      </c>
      <c r="AE51" s="92">
        <f t="shared" si="8"/>
        <v>12301.439999999999</v>
      </c>
      <c r="AF51" s="20">
        <v>32</v>
      </c>
      <c r="AG51" s="20">
        <v>31</v>
      </c>
      <c r="AH51" s="20">
        <v>31</v>
      </c>
      <c r="AI51" s="20">
        <v>34</v>
      </c>
      <c r="AJ51" s="20">
        <v>1.6</v>
      </c>
      <c r="AK51" s="90">
        <f t="shared" si="9"/>
        <v>4.13</v>
      </c>
      <c r="AL51" s="90">
        <v>391.01</v>
      </c>
      <c r="AM51" s="90">
        <f t="shared" si="10"/>
        <v>1614.87</v>
      </c>
      <c r="AN51" s="20">
        <v>34</v>
      </c>
      <c r="AO51" s="20">
        <v>34</v>
      </c>
      <c r="AP51" s="20">
        <v>32</v>
      </c>
      <c r="AQ51" s="20">
        <v>34</v>
      </c>
      <c r="AR51" s="20">
        <v>34</v>
      </c>
      <c r="AS51" s="20">
        <v>35</v>
      </c>
      <c r="AT51" s="20">
        <f t="shared" si="11"/>
        <v>1</v>
      </c>
      <c r="AU51" s="20">
        <v>1.6</v>
      </c>
      <c r="AV51" s="90">
        <f t="shared" si="12"/>
        <v>4.2699999999999996</v>
      </c>
      <c r="AW51" s="90">
        <f t="shared" si="551"/>
        <v>188.88</v>
      </c>
      <c r="AX51" s="90">
        <v>881.44</v>
      </c>
      <c r="AY51" s="90">
        <f t="shared" si="14"/>
        <v>0.95</v>
      </c>
      <c r="AZ51" s="90">
        <f t="shared" si="15"/>
        <v>1668.31</v>
      </c>
      <c r="BA51" s="90">
        <f t="shared" si="16"/>
        <v>-786.86999999999989</v>
      </c>
      <c r="BB51" s="90">
        <v>881.44</v>
      </c>
      <c r="BC51" s="90">
        <v>0.95</v>
      </c>
      <c r="BD51" s="92">
        <f t="shared" si="17"/>
        <v>10577.28</v>
      </c>
      <c r="BE51" s="90"/>
      <c r="BF51" s="90">
        <f t="shared" si="18"/>
        <v>0</v>
      </c>
      <c r="BG51" s="90">
        <v>391.01</v>
      </c>
      <c r="BH51" s="90">
        <f t="shared" si="19"/>
        <v>1669.61</v>
      </c>
      <c r="BI51" s="90">
        <f t="shared" si="20"/>
        <v>1.8</v>
      </c>
      <c r="BJ51" s="90">
        <f t="shared" si="21"/>
        <v>189.47368421052633</v>
      </c>
      <c r="BK51" s="90">
        <f t="shared" si="22"/>
        <v>1669.61</v>
      </c>
      <c r="BL51" s="90">
        <f t="shared" si="23"/>
        <v>1.8</v>
      </c>
      <c r="BM51" s="90"/>
      <c r="BN51" s="90">
        <f t="shared" si="24"/>
        <v>0</v>
      </c>
      <c r="BO51" s="90">
        <f t="shared" si="25"/>
        <v>1669.61</v>
      </c>
      <c r="BP51" s="90">
        <f t="shared" si="26"/>
        <v>1.7966318734531368</v>
      </c>
      <c r="BQ51" s="90"/>
      <c r="BR51" s="90">
        <f t="shared" si="27"/>
        <v>0</v>
      </c>
      <c r="BS51" s="90">
        <f t="shared" si="28"/>
        <v>1669.61</v>
      </c>
      <c r="BT51" s="90">
        <f t="shared" si="29"/>
        <v>1.7966318734531368</v>
      </c>
      <c r="BU51" s="90"/>
      <c r="BV51" s="93">
        <v>1.7027650000000001</v>
      </c>
      <c r="BW51" s="90">
        <f t="shared" si="30"/>
        <v>1582.3795144999999</v>
      </c>
      <c r="BX51" s="90">
        <f t="shared" si="31"/>
        <v>1677.3222853699999</v>
      </c>
      <c r="BY51" s="90"/>
      <c r="BZ51" s="90">
        <v>2167.0797365100002</v>
      </c>
      <c r="CA51" s="90">
        <v>0.37305430897000003</v>
      </c>
      <c r="CB51" s="90">
        <f t="shared" si="556"/>
        <v>346.67936932582103</v>
      </c>
      <c r="CC51" s="90">
        <v>0.37305430897000003</v>
      </c>
      <c r="CD51" s="90">
        <f t="shared" si="563"/>
        <v>346.67936932582103</v>
      </c>
      <c r="CE51" s="90">
        <f t="shared" si="564"/>
        <v>346.67936932582103</v>
      </c>
      <c r="CF51" s="90">
        <f>I51*0.361793891</f>
        <v>336.21506290629998</v>
      </c>
      <c r="CG51" s="90">
        <f>I51*0.361793891</f>
        <v>336.21506290629998</v>
      </c>
      <c r="CH51" s="90">
        <f t="shared" si="565"/>
        <v>336.22</v>
      </c>
      <c r="CI51" s="90">
        <f t="shared" ref="CI51:CI57" si="601">CH51/($SP51-$HL51)*($SX51-$HN51)</f>
        <v>354.13251861500885</v>
      </c>
      <c r="CJ51" s="90">
        <f t="shared" si="36"/>
        <v>354.71</v>
      </c>
      <c r="CK51" s="90">
        <f t="shared" si="37"/>
        <v>382.06266819916033</v>
      </c>
      <c r="CL51" s="90">
        <f t="shared" si="38"/>
        <v>382.06266819916033</v>
      </c>
      <c r="CM51" s="94">
        <v>0.14899999999999999</v>
      </c>
      <c r="CN51" s="90">
        <f t="shared" si="39"/>
        <v>235.77454766049999</v>
      </c>
      <c r="CO51" s="90">
        <f t="shared" si="40"/>
        <v>249.92102052013001</v>
      </c>
      <c r="CP51" s="90">
        <v>322.89528150000001</v>
      </c>
      <c r="CQ51" s="90">
        <v>5.0232736819999999E-2</v>
      </c>
      <c r="CR51" s="90">
        <f t="shared" si="557"/>
        <v>46.681282326825993</v>
      </c>
      <c r="CS51" s="90">
        <v>5.0232736819999999E-2</v>
      </c>
      <c r="CT51" s="90">
        <f t="shared" si="566"/>
        <v>46.681282326825993</v>
      </c>
      <c r="CU51" s="90">
        <f t="shared" si="567"/>
        <v>46.681282326825993</v>
      </c>
      <c r="CV51" s="90">
        <f>I51*0.103779163</f>
        <v>96.441976175899995</v>
      </c>
      <c r="CW51" s="90">
        <f t="shared" si="568"/>
        <v>96.44</v>
      </c>
      <c r="CX51" s="90">
        <f t="shared" ref="CX51:CX57" si="602">CW51/($SP51-$HL51)*($SX51-$HN51)</f>
        <v>101.57795519371676</v>
      </c>
      <c r="CY51" s="90">
        <f t="shared" si="45"/>
        <v>101.74</v>
      </c>
      <c r="CZ51" s="90">
        <f t="shared" si="46"/>
        <v>109.58932758648213</v>
      </c>
      <c r="DA51" s="90">
        <f t="shared" si="47"/>
        <v>109.58932758648213</v>
      </c>
      <c r="DB51" s="93">
        <v>1.1979820000000001</v>
      </c>
      <c r="DC51" s="90">
        <f t="shared" si="48"/>
        <v>1113.2846726</v>
      </c>
      <c r="DD51" s="90">
        <f t="shared" si="49"/>
        <v>1180.0817529560002</v>
      </c>
      <c r="DE51" s="90"/>
      <c r="DF51" s="90">
        <v>628.71211545762651</v>
      </c>
      <c r="DG51" s="90">
        <v>0.28219173505</v>
      </c>
      <c r="DH51" s="90">
        <f t="shared" si="558"/>
        <v>262.24077938196501</v>
      </c>
      <c r="DI51" s="90">
        <v>0.28219173505</v>
      </c>
      <c r="DJ51" s="90">
        <f t="shared" si="569"/>
        <v>262.24077938196501</v>
      </c>
      <c r="DK51" s="90">
        <f t="shared" si="570"/>
        <v>262.24077938196501</v>
      </c>
      <c r="DL51" s="90">
        <f>I51*0.228495796</f>
        <v>212.34114322279999</v>
      </c>
      <c r="DM51" s="90">
        <f t="shared" si="571"/>
        <v>212.34</v>
      </c>
      <c r="DN51" s="90">
        <f t="shared" ref="DN51:DN57" si="603">DM51/($SP51-$HL51)*($SX51-$HN51)</f>
        <v>223.65266492984048</v>
      </c>
      <c r="DO51" s="90">
        <f t="shared" si="54"/>
        <v>224.02</v>
      </c>
      <c r="DP51" s="90">
        <f t="shared" si="55"/>
        <v>241.2919724151142</v>
      </c>
      <c r="DQ51" s="90">
        <f t="shared" si="56"/>
        <v>241.2919724151142</v>
      </c>
      <c r="DR51" s="93">
        <v>4.2594E-2</v>
      </c>
      <c r="DS51" s="90">
        <f t="shared" si="57"/>
        <v>39.582604199999999</v>
      </c>
      <c r="DT51" s="90">
        <f t="shared" si="58"/>
        <v>41.957560452000003</v>
      </c>
      <c r="DU51" s="90">
        <v>23.779932043413528</v>
      </c>
      <c r="DV51" s="90">
        <v>1.366632888E-2</v>
      </c>
      <c r="DW51" s="90">
        <f t="shared" si="559"/>
        <v>12.700119428183999</v>
      </c>
      <c r="DX51" s="90">
        <v>1.366632888E-2</v>
      </c>
      <c r="DY51" s="90">
        <f t="shared" si="572"/>
        <v>12.700119428183999</v>
      </c>
      <c r="DZ51" s="90">
        <f t="shared" si="573"/>
        <v>12.700119428183999</v>
      </c>
      <c r="EA51" s="90">
        <f t="shared" si="574"/>
        <v>12.7</v>
      </c>
      <c r="EB51" s="90">
        <f t="shared" ref="EB51:EB57" si="604">EA51/($SP51-$HL51)*($SX51-$HN51)</f>
        <v>13.376607537953161</v>
      </c>
      <c r="EC51" s="90">
        <f t="shared" si="63"/>
        <v>13.4</v>
      </c>
      <c r="ED51" s="90">
        <f t="shared" si="64"/>
        <v>14.431609916511022</v>
      </c>
      <c r="EE51" s="90">
        <f t="shared" si="65"/>
        <v>14.431609916511022</v>
      </c>
      <c r="EF51" s="94">
        <v>0.85293354333000004</v>
      </c>
      <c r="EG51" s="90">
        <f t="shared" si="66"/>
        <v>951.15737017988272</v>
      </c>
      <c r="EH51" s="90">
        <f t="shared" si="67"/>
        <v>1008.2268123906757</v>
      </c>
      <c r="EI51" s="90">
        <v>812.96663509525558</v>
      </c>
      <c r="EJ51" s="90">
        <v>0.13912706999999999</v>
      </c>
      <c r="EK51" s="90">
        <f t="shared" si="595"/>
        <v>155.14894338119998</v>
      </c>
      <c r="EL51" s="90">
        <v>0.16695248382</v>
      </c>
      <c r="EM51" s="90">
        <f t="shared" si="575"/>
        <v>155.148943213926</v>
      </c>
      <c r="EN51" s="90">
        <f t="shared" si="576"/>
        <v>155.148943213926</v>
      </c>
      <c r="EO51" s="90">
        <f>J51*0.135381707</f>
        <v>150.97226437811997</v>
      </c>
      <c r="EP51" s="90">
        <f t="shared" si="577"/>
        <v>150.97</v>
      </c>
      <c r="EQ51" s="90">
        <f t="shared" ref="EQ51:EQ57" si="605">EP51/($SP51-$HL51)*($SX51-$HN51)</f>
        <v>159.0131055121881</v>
      </c>
      <c r="ER51" s="90">
        <f t="shared" si="72"/>
        <v>159.27000000000001</v>
      </c>
      <c r="ES51" s="90">
        <f t="shared" si="73"/>
        <v>171.55434244847788</v>
      </c>
      <c r="ET51" s="90">
        <f t="shared" si="74"/>
        <v>171.55434244847788</v>
      </c>
      <c r="EU51" s="94">
        <v>0.14899999999999999</v>
      </c>
      <c r="EV51" s="90">
        <f t="shared" si="75"/>
        <v>141.72244815680253</v>
      </c>
      <c r="EW51" s="90">
        <f t="shared" si="76"/>
        <v>150.22579504621069</v>
      </c>
      <c r="EX51" s="90">
        <v>121.14818829883347</v>
      </c>
      <c r="EY51" s="90">
        <v>2.0730999999999999E-2</v>
      </c>
      <c r="EZ51" s="90">
        <f t="shared" si="596"/>
        <v>23.118381959999997</v>
      </c>
      <c r="FA51" s="90">
        <v>2.4876671749999999E-2</v>
      </c>
      <c r="FB51" s="90">
        <f t="shared" si="578"/>
        <v>23.117891057274999</v>
      </c>
      <c r="FC51" s="90">
        <f t="shared" si="579"/>
        <v>23.117891057274999</v>
      </c>
      <c r="FD51" s="90">
        <f>J51*0.041845299</f>
        <v>46.66420363284</v>
      </c>
      <c r="FE51" s="90">
        <f t="shared" si="580"/>
        <v>46.66</v>
      </c>
      <c r="FF51" s="90">
        <f t="shared" ref="FF51:FF57" si="606">FE51/($SP51-$HL51)*($SX51-$HN51)</f>
        <v>49.145866749676735</v>
      </c>
      <c r="FG51" s="90">
        <f t="shared" si="81"/>
        <v>49.23</v>
      </c>
      <c r="FH51" s="90">
        <f t="shared" si="82"/>
        <v>53.021962102708997</v>
      </c>
      <c r="FI51" s="90">
        <f t="shared" si="83"/>
        <v>53.021962102708997</v>
      </c>
      <c r="FJ51" s="93">
        <v>0.49981642240000002</v>
      </c>
      <c r="FK51" s="90">
        <f t="shared" si="84"/>
        <v>557.37528160358397</v>
      </c>
      <c r="FL51" s="90">
        <f t="shared" si="85"/>
        <v>590.8177984997991</v>
      </c>
      <c r="FM51" s="90">
        <v>448.44961252154263</v>
      </c>
      <c r="FN51" s="90">
        <v>8.9680701000000002E-2</v>
      </c>
      <c r="FO51" s="90">
        <f t="shared" si="597"/>
        <v>100.00833052715998</v>
      </c>
      <c r="FP51" s="90">
        <v>0.10761684168000001</v>
      </c>
      <c r="FQ51" s="90">
        <f t="shared" si="581"/>
        <v>100.00833097322401</v>
      </c>
      <c r="FR51" s="90">
        <f t="shared" si="582"/>
        <v>100.00833097322401</v>
      </c>
      <c r="FS51" s="90">
        <f>J51*0.069578257</f>
        <v>77.590889076119993</v>
      </c>
      <c r="FT51" s="90">
        <f t="shared" si="89"/>
        <v>81.319999999999993</v>
      </c>
      <c r="FU51" s="90">
        <f>J51*0.0818196</f>
        <v>91.241945135999998</v>
      </c>
      <c r="FV51" s="90">
        <f t="shared" si="583"/>
        <v>91.24</v>
      </c>
      <c r="FW51" s="90">
        <f t="shared" ref="FW51:FW57" si="607">FV51/($SP51-$HL51)*($SX51-$HN51)</f>
        <v>96.100919036444608</v>
      </c>
      <c r="FX51" s="90">
        <f t="shared" si="91"/>
        <v>96.26</v>
      </c>
      <c r="FY51" s="90">
        <f t="shared" si="92"/>
        <v>103.68032195137525</v>
      </c>
      <c r="FZ51" s="90">
        <f t="shared" si="93"/>
        <v>103.68032195137525</v>
      </c>
      <c r="GA51" s="94">
        <v>1.352261642E-2</v>
      </c>
      <c r="GB51" s="90">
        <f t="shared" si="94"/>
        <v>15.079880926927197</v>
      </c>
      <c r="GC51" s="90">
        <f t="shared" si="95"/>
        <v>15.98467378254283</v>
      </c>
      <c r="GD51" s="90">
        <v>13.089957495624621</v>
      </c>
      <c r="GE51" s="90">
        <v>2.4269999999999999E-3</v>
      </c>
      <c r="GF51" s="90">
        <f t="shared" si="598"/>
        <v>2.7064933199999994</v>
      </c>
      <c r="GG51" s="90">
        <v>2.9119942899999999E-3</v>
      </c>
      <c r="GH51" s="90">
        <f t="shared" si="584"/>
        <v>2.7061162936969998</v>
      </c>
      <c r="GI51" s="90">
        <f t="shared" si="585"/>
        <v>2.7061162936969998</v>
      </c>
      <c r="GJ51" s="90">
        <f t="shared" si="586"/>
        <v>2.71</v>
      </c>
      <c r="GK51" s="90">
        <f t="shared" ref="GK51:GK57" si="608">GJ51/($SP51-$HL51)*($SX51-$HN51)</f>
        <v>2.8543784588860683</v>
      </c>
      <c r="GL51" s="90">
        <f t="shared" si="100"/>
        <v>2.86</v>
      </c>
      <c r="GM51" s="90">
        <f t="shared" si="101"/>
        <v>3.0795010136806984</v>
      </c>
      <c r="GN51" s="90">
        <f t="shared" si="102"/>
        <v>3.0795010136806984</v>
      </c>
      <c r="GO51" s="90">
        <v>3628.8</v>
      </c>
      <c r="GP51" s="90">
        <f t="shared" si="103"/>
        <v>302.40000000000003</v>
      </c>
      <c r="GQ51" s="90">
        <f>2381.4+554.4</f>
        <v>2935.8</v>
      </c>
      <c r="GR51" s="90">
        <f t="shared" si="104"/>
        <v>244.65</v>
      </c>
      <c r="GS51" s="90">
        <f t="shared" si="105"/>
        <v>547.05000000000007</v>
      </c>
      <c r="GT51" s="90">
        <f t="shared" si="106"/>
        <v>0.59</v>
      </c>
      <c r="GU51" s="90">
        <v>4145.04</v>
      </c>
      <c r="GV51" s="90">
        <f>2257.2+528.96</f>
        <v>2786.16</v>
      </c>
      <c r="GW51" s="90">
        <f t="shared" si="107"/>
        <v>577.6</v>
      </c>
      <c r="GX51" s="90">
        <f t="shared" si="108"/>
        <v>0.62</v>
      </c>
      <c r="GY51" s="90">
        <v>7407.72</v>
      </c>
      <c r="GZ51" s="90">
        <f>2400.84+565.44</f>
        <v>2966.28</v>
      </c>
      <c r="HA51" s="90">
        <f t="shared" si="109"/>
        <v>864.5</v>
      </c>
      <c r="HB51" s="90">
        <f t="shared" si="110"/>
        <v>0.93</v>
      </c>
      <c r="HC51" s="90">
        <v>7407.72</v>
      </c>
      <c r="HD51" s="90">
        <f>2400.84+565.44</f>
        <v>2966.28</v>
      </c>
      <c r="HE51" s="90">
        <f t="shared" si="111"/>
        <v>864.5</v>
      </c>
      <c r="HF51" s="90">
        <f t="shared" si="112"/>
        <v>0.93</v>
      </c>
      <c r="HG51" s="90"/>
      <c r="HH51" s="90"/>
      <c r="HI51" s="90">
        <v>0.96</v>
      </c>
      <c r="HJ51" s="90">
        <f t="shared" si="113"/>
        <v>892.12799999999993</v>
      </c>
      <c r="HK51" s="90">
        <f t="shared" si="114"/>
        <v>1.0099214462498656</v>
      </c>
      <c r="HL51" s="90">
        <f t="shared" si="587"/>
        <v>938.52</v>
      </c>
      <c r="HM51" s="90">
        <v>1.07</v>
      </c>
      <c r="HN51" s="90">
        <f t="shared" si="116"/>
        <v>994.351</v>
      </c>
      <c r="HO51" s="90">
        <v>1.1499999999999999</v>
      </c>
      <c r="HP51" s="90">
        <f t="shared" si="117"/>
        <v>1068.7</v>
      </c>
      <c r="HQ51" s="90">
        <v>1.1499999999999999</v>
      </c>
      <c r="HR51" s="90">
        <f t="shared" si="118"/>
        <v>1068.7</v>
      </c>
      <c r="HS51" s="90">
        <v>0.96</v>
      </c>
      <c r="HT51" s="90">
        <f t="shared" si="588"/>
        <v>892.12799999999993</v>
      </c>
      <c r="HU51" s="90" t="e">
        <f>HT51*#REF!</f>
        <v>#REF!</v>
      </c>
      <c r="HV51" s="90">
        <v>2.83</v>
      </c>
      <c r="HW51" s="20">
        <v>3.49</v>
      </c>
      <c r="HX51" s="90">
        <f t="shared" si="120"/>
        <v>3243.2570000000001</v>
      </c>
      <c r="HY51" s="90">
        <v>1.06</v>
      </c>
      <c r="HZ51" s="90">
        <f t="shared" si="121"/>
        <v>3437.8524200000002</v>
      </c>
      <c r="IA51" s="90">
        <f t="shared" si="122"/>
        <v>3.7</v>
      </c>
      <c r="IB51" s="90">
        <f t="shared" si="123"/>
        <v>3.88</v>
      </c>
      <c r="IC51" s="90">
        <f t="shared" si="124"/>
        <v>3605.6839999999997</v>
      </c>
      <c r="ID51" s="90">
        <f t="shared" si="125"/>
        <v>4.09</v>
      </c>
      <c r="IE51" s="90">
        <f t="shared" si="126"/>
        <v>3800.84</v>
      </c>
      <c r="IF51" s="90">
        <f t="shared" si="127"/>
        <v>4.09</v>
      </c>
      <c r="IG51" s="92">
        <f t="shared" si="128"/>
        <v>45610.080000000002</v>
      </c>
      <c r="IH51" s="90">
        <v>4.3899999999999997</v>
      </c>
      <c r="II51" s="90">
        <f t="shared" si="129"/>
        <v>4.6100000000000003</v>
      </c>
      <c r="IJ51" s="90">
        <f t="shared" si="130"/>
        <v>4284.07</v>
      </c>
      <c r="IK51" s="90">
        <f t="shared" si="131"/>
        <v>4.6100000000000003</v>
      </c>
      <c r="IL51" s="90">
        <f t="shared" si="132"/>
        <v>4284.07</v>
      </c>
      <c r="IM51" s="90">
        <f t="shared" si="133"/>
        <v>4.6100000000000003</v>
      </c>
      <c r="IN51" s="90">
        <f t="shared" si="134"/>
        <v>4284.07</v>
      </c>
      <c r="IO51" s="90">
        <f t="shared" si="135"/>
        <v>4.6100000000000003</v>
      </c>
      <c r="IP51" s="93">
        <v>0.37052404126999999</v>
      </c>
      <c r="IQ51" s="90">
        <f t="shared" si="136"/>
        <v>413.19358986265314</v>
      </c>
      <c r="IR51" s="90">
        <f t="shared" si="137"/>
        <v>437.98520525441234</v>
      </c>
      <c r="IS51" s="90">
        <v>18121.54</v>
      </c>
      <c r="IT51" s="90">
        <v>509.05</v>
      </c>
      <c r="IU51" s="90"/>
      <c r="IV51" s="90">
        <v>220.79275823136445</v>
      </c>
      <c r="IW51" s="90">
        <v>1.5759999</v>
      </c>
      <c r="IX51" s="90">
        <f>$J51*IW51</f>
        <v>1757.4920484839997</v>
      </c>
      <c r="IY51" s="90">
        <v>1.89119998663</v>
      </c>
      <c r="IZ51" s="90">
        <f t="shared" si="139"/>
        <v>1757.492147575259</v>
      </c>
      <c r="JA51" s="90">
        <f t="shared" si="589"/>
        <v>1711.03</v>
      </c>
      <c r="JB51" s="90">
        <f t="shared" ref="JB51:JB57" si="609">JA51/($SP51-$HL51)*($SX51-$HN51)</f>
        <v>1802.1871492648816</v>
      </c>
      <c r="JC51" s="90">
        <f t="shared" si="141"/>
        <v>1805.14</v>
      </c>
      <c r="JD51" s="90">
        <f t="shared" si="142"/>
        <v>1944.3242138147916</v>
      </c>
      <c r="JE51" s="90">
        <f t="shared" si="143"/>
        <v>1944.3242138147916</v>
      </c>
      <c r="JF51" s="93">
        <v>4.2278943710000003E-2</v>
      </c>
      <c r="JG51" s="90">
        <f t="shared" si="144"/>
        <v>47.147786867643596</v>
      </c>
      <c r="JH51" s="90">
        <f t="shared" si="145"/>
        <v>49.976654079702215</v>
      </c>
      <c r="JI51" s="20">
        <v>101.71</v>
      </c>
      <c r="JJ51" s="90">
        <v>28.098638394419016</v>
      </c>
      <c r="JK51" s="90">
        <v>0.17965928</v>
      </c>
      <c r="JL51" s="90">
        <f>$J51*JK51</f>
        <v>200.34884268479999</v>
      </c>
      <c r="JM51" s="90">
        <v>0.21559114040999999</v>
      </c>
      <c r="JN51" s="90">
        <f t="shared" si="147"/>
        <v>200.34884678301299</v>
      </c>
      <c r="JO51" s="90">
        <f t="shared" si="590"/>
        <v>200.35</v>
      </c>
      <c r="JP51" s="90">
        <f t="shared" ref="JP51:JP57" si="610">JO51/($SP51-$HL51)*($SX51-$HN51)</f>
        <v>211.02388348259183</v>
      </c>
      <c r="JQ51" s="90">
        <f t="shared" si="149"/>
        <v>211.37</v>
      </c>
      <c r="JR51" s="90">
        <f t="shared" si="150"/>
        <v>227.66716903724279</v>
      </c>
      <c r="JS51" s="90">
        <f t="shared" si="151"/>
        <v>227.66716903724279</v>
      </c>
      <c r="JT51" s="93">
        <v>7.3220517000000002E-3</v>
      </c>
      <c r="JU51" s="90">
        <f t="shared" si="152"/>
        <v>8.1652591737719984</v>
      </c>
      <c r="JV51" s="90">
        <f t="shared" si="591"/>
        <v>8.17</v>
      </c>
      <c r="JW51" s="90">
        <f t="shared" ref="JW51:JW57" si="611">JV51/($SP51-$HL51)*($SX51-$HN51)</f>
        <v>8.6052664240218366</v>
      </c>
      <c r="JX51" s="90">
        <f t="shared" si="154"/>
        <v>8.6199999999999992</v>
      </c>
      <c r="JY51" s="90">
        <f t="shared" si="155"/>
        <v>9.2839569305429155</v>
      </c>
      <c r="JZ51" s="90">
        <f t="shared" si="156"/>
        <v>9.2839569305429155</v>
      </c>
      <c r="KA51" s="90">
        <v>7.3220500000000001E-3</v>
      </c>
      <c r="KB51" s="90">
        <f t="shared" si="599"/>
        <v>8.1652572779999986</v>
      </c>
      <c r="KC51" s="90" t="e">
        <f>KB51*#REF!</f>
        <v>#REF!</v>
      </c>
      <c r="KD51" s="90">
        <v>17952.740000000002</v>
      </c>
      <c r="KE51" s="90">
        <v>22700.14</v>
      </c>
      <c r="KF51" s="90"/>
      <c r="KG51" s="90">
        <f t="shared" si="550"/>
        <v>1175.0429239213622</v>
      </c>
      <c r="KH51" s="90" t="e">
        <f>KG51/(BW51+#REF!)*(CB51+#REF!)</f>
        <v>#REF!</v>
      </c>
      <c r="KI51" s="90">
        <v>0.8</v>
      </c>
      <c r="KJ51" s="94"/>
      <c r="KK51" s="90">
        <f t="shared" si="159"/>
        <v>0</v>
      </c>
      <c r="KL51" s="93">
        <v>1.7272052</v>
      </c>
      <c r="KM51" s="90">
        <f t="shared" si="600"/>
        <v>1605.09179236</v>
      </c>
      <c r="KN51" s="90">
        <f t="shared" si="161"/>
        <v>1701.3972999016</v>
      </c>
      <c r="KO51" s="90" t="e">
        <f>BW51+CN51+DC51+DS51+EG51+EV51+FK51+GB51+#REF!+#REF!+HJ51+HX51+IQ51+JG51+JU51+KK51+KM51</f>
        <v>#REF!</v>
      </c>
      <c r="KP51" s="90">
        <v>1264.7879810362094</v>
      </c>
      <c r="KQ51" s="90">
        <v>0.283349295</v>
      </c>
      <c r="KR51" s="90">
        <f t="shared" si="560"/>
        <v>263.31649984349997</v>
      </c>
      <c r="KS51" s="90">
        <v>0.28334929455000002</v>
      </c>
      <c r="KT51" s="90">
        <f t="shared" si="592"/>
        <v>263.31649942531499</v>
      </c>
      <c r="KU51" s="90">
        <f t="shared" si="593"/>
        <v>263.31649942531499</v>
      </c>
      <c r="KV51" s="90">
        <f t="shared" si="594"/>
        <v>263.32</v>
      </c>
      <c r="KW51" s="90">
        <f t="shared" ref="KW51:KW57" si="612">KV51/($SP51-$HL51)*($SX51-$HN51)</f>
        <v>277.34868479478951</v>
      </c>
      <c r="KX51" s="90">
        <f t="shared" si="166"/>
        <v>277.8</v>
      </c>
      <c r="KY51" s="90">
        <f t="shared" si="167"/>
        <v>299.22295458391204</v>
      </c>
      <c r="KZ51" s="90">
        <f t="shared" si="168"/>
        <v>299.22295458391204</v>
      </c>
      <c r="LA51" s="90">
        <f t="shared" si="169"/>
        <v>4293.37</v>
      </c>
      <c r="LB51" s="90">
        <f t="shared" si="170"/>
        <v>4.62</v>
      </c>
      <c r="LC51" s="92">
        <f t="shared" si="171"/>
        <v>51520.44</v>
      </c>
      <c r="LD51" s="92">
        <v>4.97</v>
      </c>
      <c r="LE51" s="92">
        <v>4618.62</v>
      </c>
      <c r="LF51" s="90">
        <f t="shared" si="172"/>
        <v>4.9800000000000004</v>
      </c>
      <c r="LG51" s="90">
        <f t="shared" si="173"/>
        <v>4627.91</v>
      </c>
      <c r="LH51" s="90">
        <f t="shared" si="174"/>
        <v>4615.3727499999995</v>
      </c>
      <c r="LI51" s="90">
        <f t="shared" si="175"/>
        <v>4.97</v>
      </c>
      <c r="LJ51" s="90">
        <f t="shared" si="176"/>
        <v>4627.9100000000008</v>
      </c>
      <c r="LK51" s="90">
        <f t="shared" si="177"/>
        <v>4.9800000000000004</v>
      </c>
      <c r="LL51" s="90">
        <f t="shared" si="178"/>
        <v>4627.9100000000008</v>
      </c>
      <c r="LM51" s="90">
        <f t="shared" si="179"/>
        <v>4.9800000000000004</v>
      </c>
      <c r="LN51" s="95">
        <v>0.46</v>
      </c>
      <c r="LO51" s="95">
        <f t="shared" si="180"/>
        <v>427.48</v>
      </c>
      <c r="LP51" s="95"/>
      <c r="LQ51" s="95">
        <f t="shared" si="181"/>
        <v>0</v>
      </c>
      <c r="LR51" s="90"/>
      <c r="LS51" s="90"/>
      <c r="LT51" s="90">
        <f t="shared" si="182"/>
        <v>0</v>
      </c>
      <c r="LU51" s="90"/>
      <c r="LV51" s="90">
        <f t="shared" si="183"/>
        <v>0</v>
      </c>
      <c r="LW51" s="90">
        <f t="shared" si="184"/>
        <v>0</v>
      </c>
      <c r="LX51" s="90"/>
      <c r="LY51" s="90"/>
      <c r="LZ51" s="90">
        <f t="shared" si="185"/>
        <v>0</v>
      </c>
      <c r="MA51" s="90"/>
      <c r="MB51" s="90">
        <f t="shared" si="186"/>
        <v>0</v>
      </c>
      <c r="MC51" s="90">
        <f t="shared" si="187"/>
        <v>0</v>
      </c>
      <c r="MD51" s="90"/>
      <c r="ME51" s="90"/>
      <c r="MF51" s="90">
        <f t="shared" si="188"/>
        <v>0</v>
      </c>
      <c r="MG51" s="90"/>
      <c r="MH51" s="90">
        <f t="shared" si="189"/>
        <v>0</v>
      </c>
      <c r="MI51" s="90">
        <f t="shared" si="190"/>
        <v>0</v>
      </c>
      <c r="MJ51" s="90"/>
      <c r="MK51" s="90"/>
      <c r="ML51" s="90">
        <f t="shared" si="191"/>
        <v>0</v>
      </c>
      <c r="MM51" s="90"/>
      <c r="MN51" s="90">
        <f t="shared" si="192"/>
        <v>0</v>
      </c>
      <c r="MO51" s="90">
        <f t="shared" si="193"/>
        <v>0</v>
      </c>
      <c r="MP51" s="90">
        <f t="shared" si="194"/>
        <v>0</v>
      </c>
      <c r="MQ51" s="90">
        <f t="shared" si="195"/>
        <v>0</v>
      </c>
      <c r="MR51" s="90">
        <f t="shared" si="196"/>
        <v>0</v>
      </c>
      <c r="MS51" s="90">
        <f t="shared" si="197"/>
        <v>0</v>
      </c>
      <c r="MT51" s="95"/>
      <c r="MU51" s="95">
        <f t="shared" si="198"/>
        <v>0</v>
      </c>
      <c r="MV51" s="92">
        <f t="shared" si="199"/>
        <v>0</v>
      </c>
      <c r="MW51" s="95"/>
      <c r="MX51" s="95">
        <f t="shared" si="200"/>
        <v>0</v>
      </c>
      <c r="MY51" s="95"/>
      <c r="MZ51" s="95">
        <f t="shared" si="201"/>
        <v>0</v>
      </c>
      <c r="NA51" s="95"/>
      <c r="NB51" s="95">
        <f t="shared" si="202"/>
        <v>0</v>
      </c>
      <c r="NC51" s="92">
        <f t="shared" si="203"/>
        <v>0</v>
      </c>
      <c r="ND51" s="95"/>
      <c r="NE51" s="95">
        <f t="shared" si="204"/>
        <v>0</v>
      </c>
      <c r="NF51" s="95"/>
      <c r="NG51" s="95">
        <f t="shared" si="205"/>
        <v>0</v>
      </c>
      <c r="NH51" s="95"/>
      <c r="NI51" s="95"/>
      <c r="NJ51" s="95">
        <f t="shared" si="206"/>
        <v>0</v>
      </c>
      <c r="NK51" s="92">
        <f t="shared" si="207"/>
        <v>0</v>
      </c>
      <c r="NL51" s="95"/>
      <c r="NM51" s="95">
        <f t="shared" si="208"/>
        <v>0</v>
      </c>
      <c r="NN51" s="95"/>
      <c r="NO51" s="95">
        <f t="shared" si="209"/>
        <v>0</v>
      </c>
      <c r="NP51" s="95"/>
      <c r="NQ51" s="95">
        <f t="shared" si="210"/>
        <v>0</v>
      </c>
      <c r="NR51" s="92">
        <f t="shared" si="211"/>
        <v>0</v>
      </c>
      <c r="NS51" s="95"/>
      <c r="NT51" s="95">
        <f t="shared" si="212"/>
        <v>0</v>
      </c>
      <c r="NU51" s="95"/>
      <c r="NV51" s="95">
        <f t="shared" si="213"/>
        <v>0</v>
      </c>
      <c r="NW51" s="95"/>
      <c r="NX51" s="95">
        <f t="shared" si="214"/>
        <v>0</v>
      </c>
      <c r="NY51" s="92">
        <f t="shared" si="215"/>
        <v>0</v>
      </c>
      <c r="NZ51" s="112">
        <f>0.55+0.25</f>
        <v>0.8</v>
      </c>
      <c r="OA51" s="95">
        <f t="shared" si="216"/>
        <v>743.44</v>
      </c>
      <c r="OB51" s="112">
        <f>0.53+0.25</f>
        <v>0.78</v>
      </c>
      <c r="OC51" s="95">
        <f t="shared" si="217"/>
        <v>724.85</v>
      </c>
      <c r="OD51" s="90">
        <v>4116.8</v>
      </c>
      <c r="OE51" s="90">
        <f t="shared" si="218"/>
        <v>4.43</v>
      </c>
      <c r="OF51" s="92">
        <f t="shared" si="219"/>
        <v>49401.600000000006</v>
      </c>
      <c r="OG51" s="96">
        <v>881.44</v>
      </c>
      <c r="OH51" s="96">
        <v>0.95</v>
      </c>
      <c r="OI51" s="90">
        <v>4999.63</v>
      </c>
      <c r="OJ51" s="90">
        <f t="shared" si="220"/>
        <v>5.38</v>
      </c>
      <c r="OK51" s="90">
        <f t="shared" si="221"/>
        <v>4998.24</v>
      </c>
      <c r="OL51" s="90">
        <f t="shared" si="222"/>
        <v>5.38</v>
      </c>
      <c r="OM51" s="90">
        <f t="shared" si="223"/>
        <v>0</v>
      </c>
      <c r="ON51" s="90">
        <v>4116.8</v>
      </c>
      <c r="OO51" s="90">
        <f t="shared" si="224"/>
        <v>4.43</v>
      </c>
      <c r="OP51" s="90">
        <v>4118.1900000000005</v>
      </c>
      <c r="OQ51" s="90">
        <v>4.43</v>
      </c>
      <c r="OR51" s="90">
        <f t="shared" si="225"/>
        <v>0</v>
      </c>
      <c r="OS51" s="90">
        <f t="shared" si="226"/>
        <v>4.43</v>
      </c>
      <c r="OT51" s="90">
        <v>4116.8</v>
      </c>
      <c r="OU51" s="90">
        <f t="shared" si="227"/>
        <v>4.43</v>
      </c>
      <c r="OV51" s="97">
        <v>4116.8</v>
      </c>
      <c r="OW51" s="90">
        <f>ROUND((I51*OY51),2)</f>
        <v>4116.8</v>
      </c>
      <c r="OX51" s="90">
        <f t="shared" si="229"/>
        <v>4.43</v>
      </c>
      <c r="OY51" s="90">
        <f>OU51</f>
        <v>4.43</v>
      </c>
      <c r="OZ51" s="90"/>
      <c r="PA51" s="90"/>
      <c r="PB51" s="95">
        <f t="shared" si="230"/>
        <v>0</v>
      </c>
      <c r="PC51" s="92">
        <f t="shared" si="231"/>
        <v>0</v>
      </c>
      <c r="PD51" s="90"/>
      <c r="PE51" s="95">
        <f t="shared" si="232"/>
        <v>0</v>
      </c>
      <c r="PF51" s="90">
        <f t="shared" si="233"/>
        <v>13639.5</v>
      </c>
      <c r="PG51" s="90">
        <f t="shared" si="234"/>
        <v>14.68</v>
      </c>
      <c r="PH51" s="90">
        <f t="shared" si="235"/>
        <v>16733.810000000001</v>
      </c>
      <c r="PI51" s="90">
        <f t="shared" si="236"/>
        <v>18.010000000000002</v>
      </c>
      <c r="PJ51" s="90">
        <f t="shared" si="237"/>
        <v>16733.810000000001</v>
      </c>
      <c r="PK51" s="90">
        <f t="shared" si="238"/>
        <v>18.010000000000002</v>
      </c>
      <c r="PL51" s="90"/>
      <c r="PM51" s="90">
        <f t="shared" si="239"/>
        <v>409.19</v>
      </c>
      <c r="PN51" s="90">
        <f t="shared" si="240"/>
        <v>0.44</v>
      </c>
      <c r="PO51" s="92">
        <f t="shared" si="241"/>
        <v>4910.28</v>
      </c>
      <c r="PP51" s="90">
        <f t="shared" si="242"/>
        <v>502.01</v>
      </c>
      <c r="PQ51" s="90">
        <f t="shared" si="243"/>
        <v>0.54</v>
      </c>
      <c r="PR51" s="90">
        <f t="shared" si="244"/>
        <v>502.01</v>
      </c>
      <c r="PS51" s="90">
        <f t="shared" si="245"/>
        <v>0.54</v>
      </c>
      <c r="PT51" s="90">
        <f t="shared" si="246"/>
        <v>14048.69</v>
      </c>
      <c r="PU51" s="90">
        <f t="shared" si="247"/>
        <v>15.12</v>
      </c>
      <c r="PV51" s="90">
        <f t="shared" si="248"/>
        <v>17235.82</v>
      </c>
      <c r="PW51" s="90">
        <f t="shared" si="249"/>
        <v>18.55</v>
      </c>
      <c r="PX51" s="90">
        <f t="shared" si="250"/>
        <v>17235.82</v>
      </c>
      <c r="PY51" s="90">
        <f t="shared" si="251"/>
        <v>18.55</v>
      </c>
      <c r="PZ51" s="90">
        <f t="shared" si="252"/>
        <v>141.91</v>
      </c>
      <c r="QA51" s="90">
        <f t="shared" si="253"/>
        <v>0.15</v>
      </c>
      <c r="QB51" s="92">
        <f t="shared" si="254"/>
        <v>1702.92</v>
      </c>
      <c r="QC51" s="90">
        <f t="shared" si="255"/>
        <v>174.1</v>
      </c>
      <c r="QD51" s="90">
        <f t="shared" si="256"/>
        <v>0.19</v>
      </c>
      <c r="QE51" s="90">
        <f t="shared" si="257"/>
        <v>174.1</v>
      </c>
      <c r="QF51" s="90">
        <f t="shared" si="258"/>
        <v>0.19</v>
      </c>
      <c r="QG51" s="90">
        <f t="shared" si="259"/>
        <v>14190.6</v>
      </c>
      <c r="QH51" s="90">
        <f t="shared" si="260"/>
        <v>15.27</v>
      </c>
      <c r="QI51" s="92">
        <f t="shared" si="261"/>
        <v>170287.2</v>
      </c>
      <c r="QJ51" s="90">
        <f t="shared" si="262"/>
        <v>292.61868479478949</v>
      </c>
      <c r="QK51" s="98">
        <f t="shared" si="263"/>
        <v>0.30089999999999995</v>
      </c>
      <c r="QL51" s="90">
        <f t="shared" si="264"/>
        <v>279.62636999999995</v>
      </c>
      <c r="QM51" s="90">
        <f t="shared" si="265"/>
        <v>0.14560000000000001</v>
      </c>
      <c r="QN51" s="90">
        <f t="shared" si="266"/>
        <v>135.30608000000001</v>
      </c>
      <c r="QO51" s="90">
        <v>0.26789999999999997</v>
      </c>
      <c r="QP51" s="90">
        <v>0.17860000000000001</v>
      </c>
      <c r="QQ51" s="97">
        <f t="shared" si="267"/>
        <v>414.93244999999996</v>
      </c>
      <c r="QR51" s="97">
        <v>414.93244999999996</v>
      </c>
      <c r="QS51" s="97">
        <f t="shared" si="268"/>
        <v>0</v>
      </c>
      <c r="QT51" s="90"/>
      <c r="QU51" s="90">
        <f t="shared" si="269"/>
        <v>0.14560000000000001</v>
      </c>
      <c r="QV51" s="90">
        <f t="shared" si="270"/>
        <v>135.30608000000001</v>
      </c>
      <c r="QW51" s="90">
        <f t="shared" si="271"/>
        <v>414.93244999999996</v>
      </c>
      <c r="QX51" s="90">
        <f t="shared" si="272"/>
        <v>0.44649999999999995</v>
      </c>
      <c r="QY51" s="90"/>
      <c r="QZ51" s="90"/>
      <c r="RA51" s="90"/>
      <c r="RB51" s="90">
        <v>4070.67</v>
      </c>
      <c r="RC51" s="97">
        <f t="shared" si="273"/>
        <v>14190.6</v>
      </c>
      <c r="RD51" s="97">
        <f t="shared" si="274"/>
        <v>15.27</v>
      </c>
      <c r="RE51" s="90">
        <f t="shared" si="275"/>
        <v>17409.919999999998</v>
      </c>
      <c r="RF51" s="90">
        <f t="shared" si="276"/>
        <v>18.73</v>
      </c>
      <c r="RG51" s="90">
        <f t="shared" si="277"/>
        <v>122.65880812049772</v>
      </c>
      <c r="RH51" s="90">
        <f t="shared" si="278"/>
        <v>17409.919999999998</v>
      </c>
      <c r="RI51" s="90">
        <f t="shared" si="279"/>
        <v>18.73</v>
      </c>
      <c r="RJ51" s="90">
        <v>18.450000000000003</v>
      </c>
      <c r="RK51" s="90">
        <v>0</v>
      </c>
      <c r="RL51" s="90">
        <f t="shared" si="280"/>
        <v>0.27999999999999758</v>
      </c>
      <c r="RM51" s="90">
        <f t="shared" si="281"/>
        <v>105.28089887640451</v>
      </c>
      <c r="RN51" s="90">
        <f t="shared" si="282"/>
        <v>10245.42</v>
      </c>
      <c r="RO51" s="90"/>
      <c r="RP51" s="90"/>
      <c r="RQ51" s="99">
        <v>3352</v>
      </c>
      <c r="RR51" s="90">
        <f t="shared" si="283"/>
        <v>10073.800000000001</v>
      </c>
      <c r="RS51" s="90">
        <f t="shared" si="284"/>
        <v>10.840202302808567</v>
      </c>
      <c r="RT51" s="20">
        <v>14.56</v>
      </c>
      <c r="RU51" s="90">
        <f t="shared" si="285"/>
        <v>13530.608</v>
      </c>
      <c r="RV51" s="90">
        <f t="shared" si="286"/>
        <v>0.3148807541103944</v>
      </c>
      <c r="RW51" s="20">
        <v>13.49</v>
      </c>
      <c r="RX51" s="90">
        <f t="shared" si="287"/>
        <v>14.1645</v>
      </c>
      <c r="RY51" s="90">
        <f t="shared" si="288"/>
        <v>13163.06985</v>
      </c>
      <c r="RZ51" s="90">
        <f t="shared" si="289"/>
        <v>4070.7335849582769</v>
      </c>
      <c r="SA51" s="90">
        <f t="shared" si="290"/>
        <v>1212.5993314262332</v>
      </c>
      <c r="SB51" s="90">
        <f t="shared" si="291"/>
        <v>1212.6000944094112</v>
      </c>
      <c r="SC51" s="90">
        <f t="shared" si="292"/>
        <v>4070.7335849582769</v>
      </c>
      <c r="SD51" s="90">
        <f t="shared" si="293"/>
        <v>4070.7343479414553</v>
      </c>
      <c r="SE51" s="90">
        <f t="shared" si="294"/>
        <v>4070.7220515855397</v>
      </c>
      <c r="SF51" s="90">
        <f t="shared" si="295"/>
        <v>4057.0825280713198</v>
      </c>
      <c r="SG51" s="90">
        <f t="shared" si="296"/>
        <v>13.651056886957122</v>
      </c>
      <c r="SH51" s="90">
        <f t="shared" si="297"/>
        <v>4070.7335841311997</v>
      </c>
      <c r="SI51" s="90">
        <f t="shared" si="298"/>
        <v>4.3804308059199997</v>
      </c>
      <c r="SJ51" s="100">
        <f t="shared" si="299"/>
        <v>4.3657403724000003</v>
      </c>
      <c r="SK51" s="100"/>
      <c r="SL51" s="100"/>
      <c r="SM51" s="90"/>
      <c r="SN51" s="90">
        <f t="shared" si="300"/>
        <v>4122.03</v>
      </c>
      <c r="SO51" s="90" t="e">
        <f>RU51-#REF!-#REF!-HZ51-LT51-LZ51-MF51-ML51-QL51-QN51-SD51</f>
        <v>#REF!</v>
      </c>
      <c r="SP51" s="90">
        <f t="shared" si="301"/>
        <v>4070.67</v>
      </c>
      <c r="SQ51" s="90">
        <f t="shared" si="302"/>
        <v>4293.37</v>
      </c>
      <c r="SR51" s="90">
        <f t="shared" si="303"/>
        <v>4.3803615624663728</v>
      </c>
      <c r="SS51" s="90">
        <f t="shared" si="304"/>
        <v>4.620004304315076</v>
      </c>
      <c r="ST51" s="90">
        <f t="shared" si="305"/>
        <v>4298.7709999999997</v>
      </c>
      <c r="SU51" s="90">
        <v>4.3803615624663728</v>
      </c>
      <c r="SV51" s="90">
        <f t="shared" si="306"/>
        <v>4.63</v>
      </c>
      <c r="SW51" s="90">
        <v>4.62</v>
      </c>
      <c r="SX51" s="90">
        <f t="shared" si="307"/>
        <v>4293.37</v>
      </c>
      <c r="SY51" s="90">
        <v>4.3804368879802009</v>
      </c>
      <c r="SZ51" s="90">
        <f t="shared" si="308"/>
        <v>4070.7400000000007</v>
      </c>
      <c r="TA51" s="90">
        <f t="shared" si="309"/>
        <v>7.0000000000618456E-2</v>
      </c>
      <c r="TB51" s="90">
        <v>0</v>
      </c>
      <c r="TC51" s="90">
        <f t="shared" si="310"/>
        <v>4313.2315500000004</v>
      </c>
      <c r="TD51" s="90" t="e">
        <f>#REF!+#REF!</f>
        <v>#REF!</v>
      </c>
      <c r="TE51" s="90" t="e">
        <f t="shared" si="311"/>
        <v>#REF!</v>
      </c>
      <c r="TF51" s="90">
        <v>4115.46155</v>
      </c>
      <c r="TG51" s="90">
        <f t="shared" si="312"/>
        <v>31.877588575472735</v>
      </c>
      <c r="TH51" s="95"/>
      <c r="TI51" s="95"/>
      <c r="TJ51" s="95"/>
      <c r="TK51" s="95"/>
      <c r="TL51" s="95"/>
      <c r="TM51" s="95">
        <f t="shared" si="313"/>
        <v>0</v>
      </c>
      <c r="TN51" s="95">
        <f t="shared" si="314"/>
        <v>13530.608</v>
      </c>
      <c r="TO51" s="95">
        <f t="shared" si="315"/>
        <v>31.877588575472735</v>
      </c>
      <c r="TP51" s="95"/>
      <c r="TQ51" s="95">
        <f t="shared" si="316"/>
        <v>14.56</v>
      </c>
      <c r="TR51" s="95"/>
      <c r="TS51" s="95"/>
      <c r="TT51" s="95"/>
      <c r="TU51" s="95"/>
      <c r="TV51" s="95"/>
      <c r="TW51" s="95"/>
      <c r="TX51" s="95"/>
      <c r="TY51" s="95"/>
      <c r="TZ51" s="95">
        <f t="shared" si="317"/>
        <v>3.0666208791208787</v>
      </c>
      <c r="UA51" s="95">
        <f t="shared" si="318"/>
        <v>0.6406400000000001</v>
      </c>
      <c r="UB51" s="90">
        <v>0</v>
      </c>
      <c r="UC51" s="90">
        <f t="shared" si="319"/>
        <v>0</v>
      </c>
      <c r="UD51" s="90">
        <f t="shared" si="320"/>
        <v>0</v>
      </c>
      <c r="UE51" s="90">
        <f t="shared" si="321"/>
        <v>0</v>
      </c>
      <c r="UF51" s="90">
        <f t="shared" si="322"/>
        <v>13530.608</v>
      </c>
      <c r="UG51" s="91">
        <f t="shared" si="323"/>
        <v>0</v>
      </c>
      <c r="UH51" s="95">
        <f t="shared" si="324"/>
        <v>31.877588575472735</v>
      </c>
      <c r="UI51" s="95">
        <f t="shared" si="325"/>
        <v>13530.608</v>
      </c>
      <c r="UJ51" s="101">
        <f t="shared" si="326"/>
        <v>0</v>
      </c>
      <c r="UK51" s="101">
        <f t="shared" si="327"/>
        <v>31.877588575472735</v>
      </c>
      <c r="UL51" s="90" t="e">
        <f>(#REF!+#REF!+HZ51+LT51+LZ51+MF51+ML51+QL51+QN51+SN51+TC51+TM51+UC51)/I51</f>
        <v>#REF!</v>
      </c>
      <c r="UN51" s="90" t="e">
        <f>#REF!/I51</f>
        <v>#REF!</v>
      </c>
      <c r="UO51" s="90" t="e">
        <f>#REF!/I51</f>
        <v>#REF!</v>
      </c>
      <c r="UP51" s="90">
        <v>1.1499999999999999</v>
      </c>
      <c r="UQ51" s="90" t="e">
        <f t="shared" si="328"/>
        <v>#REF!</v>
      </c>
      <c r="UR51" s="90">
        <f t="shared" si="329"/>
        <v>10073.800000000001</v>
      </c>
      <c r="US51" s="90">
        <f t="shared" si="330"/>
        <v>12578.740000000002</v>
      </c>
      <c r="UT51" s="90">
        <f t="shared" si="331"/>
        <v>12578.740000000002</v>
      </c>
      <c r="UU51" s="90">
        <f t="shared" si="516"/>
        <v>13006.220000000001</v>
      </c>
      <c r="UV51" s="90">
        <f t="shared" si="333"/>
        <v>12865.640000000001</v>
      </c>
      <c r="UW51" s="90">
        <f t="shared" si="334"/>
        <v>6.16</v>
      </c>
      <c r="UX51" s="90">
        <f t="shared" si="335"/>
        <v>4.62</v>
      </c>
      <c r="UY51" s="90">
        <f t="shared" si="336"/>
        <v>4.4356289680404606</v>
      </c>
      <c r="UZ51" s="100">
        <f t="shared" si="337"/>
        <v>4.3804308059199997</v>
      </c>
      <c r="VA51" s="90">
        <f t="shared" si="338"/>
        <v>0.59</v>
      </c>
      <c r="VB51" s="90">
        <f t="shared" si="339"/>
        <v>0.95</v>
      </c>
      <c r="VC51" s="90">
        <f t="shared" si="340"/>
        <v>0</v>
      </c>
      <c r="VD51" s="90">
        <f t="shared" si="341"/>
        <v>0</v>
      </c>
      <c r="VE51" s="90">
        <f t="shared" si="342"/>
        <v>0</v>
      </c>
      <c r="VF51" s="90">
        <f t="shared" si="343"/>
        <v>0</v>
      </c>
      <c r="VG51" s="90">
        <f t="shared" si="344"/>
        <v>0</v>
      </c>
      <c r="VH51" s="90">
        <f t="shared" si="345"/>
        <v>0</v>
      </c>
      <c r="VI51" s="90">
        <f t="shared" si="346"/>
        <v>0</v>
      </c>
      <c r="VJ51" s="90">
        <f t="shared" si="347"/>
        <v>0</v>
      </c>
      <c r="VK51" s="90">
        <f t="shared" si="348"/>
        <v>1.1000000000000001</v>
      </c>
      <c r="VL51" s="90">
        <f t="shared" si="349"/>
        <v>4.09</v>
      </c>
      <c r="VM51" s="90">
        <f t="shared" si="350"/>
        <v>4.43</v>
      </c>
      <c r="VN51" s="90">
        <f t="shared" si="351"/>
        <v>0</v>
      </c>
      <c r="VO51" s="90">
        <f t="shared" si="352"/>
        <v>4.43</v>
      </c>
      <c r="VP51" s="97">
        <v>0</v>
      </c>
      <c r="VQ51" s="97">
        <v>4.43</v>
      </c>
      <c r="VR51" s="90">
        <f t="shared" si="353"/>
        <v>0.44</v>
      </c>
      <c r="VS51" s="90">
        <f t="shared" si="354"/>
        <v>0.15</v>
      </c>
      <c r="VT51" s="90">
        <v>0.11989898989898991</v>
      </c>
      <c r="VU51" s="90">
        <f t="shared" si="355"/>
        <v>0.1527</v>
      </c>
      <c r="VV51" s="90">
        <v>0.38175323599898991</v>
      </c>
      <c r="VW51" s="90">
        <f t="shared" si="356"/>
        <v>0.59</v>
      </c>
      <c r="VX51" s="90">
        <f t="shared" si="357"/>
        <v>15.27</v>
      </c>
      <c r="VY51" s="90">
        <f t="shared" si="358"/>
        <v>15.27</v>
      </c>
      <c r="VZ51" s="90">
        <f t="shared" si="359"/>
        <v>0</v>
      </c>
      <c r="WA51" s="90"/>
      <c r="WB51" s="90">
        <f t="shared" si="360"/>
        <v>15.27</v>
      </c>
      <c r="WC51" s="90">
        <f t="shared" si="361"/>
        <v>0</v>
      </c>
      <c r="WD51" s="90"/>
      <c r="WE51" s="90">
        <v>15.27</v>
      </c>
      <c r="WF51" s="90"/>
      <c r="WG51" s="90">
        <f t="shared" si="362"/>
        <v>14190.410999999998</v>
      </c>
      <c r="WH51" s="90">
        <f t="shared" si="363"/>
        <v>14190.410999999998</v>
      </c>
      <c r="WI51" s="90">
        <f t="shared" si="364"/>
        <v>14190.6</v>
      </c>
      <c r="WJ51" s="90">
        <f t="shared" si="365"/>
        <v>10073.800000000001</v>
      </c>
      <c r="WK51" s="97">
        <v>4116.8</v>
      </c>
      <c r="WL51" s="97">
        <v>4.43</v>
      </c>
      <c r="WM51" s="90">
        <f t="shared" si="366"/>
        <v>4116.8</v>
      </c>
      <c r="WN51" s="90">
        <f t="shared" si="367"/>
        <v>4.43</v>
      </c>
      <c r="WO51" s="90"/>
      <c r="WP51" s="97">
        <v>15.27</v>
      </c>
      <c r="WQ51" s="90">
        <f t="shared" si="368"/>
        <v>15.27</v>
      </c>
      <c r="WR51" s="91">
        <f t="shared" si="369"/>
        <v>104.87637362637361</v>
      </c>
      <c r="WS51" s="91">
        <f t="shared" si="370"/>
        <v>104.87637362637361</v>
      </c>
      <c r="WT51" s="90">
        <f t="shared" si="371"/>
        <v>14190.41</v>
      </c>
      <c r="WU51" s="90">
        <f t="shared" si="372"/>
        <v>14190.6</v>
      </c>
      <c r="WV51" s="90">
        <f t="shared" si="373"/>
        <v>-0.19000000000050932</v>
      </c>
      <c r="WW51" s="90"/>
      <c r="WX51" s="90"/>
      <c r="WY51" s="90"/>
      <c r="WZ51" s="90">
        <f t="shared" si="374"/>
        <v>4.5228454545454548</v>
      </c>
      <c r="XA51" s="90">
        <v>0</v>
      </c>
      <c r="XB51" s="90">
        <f t="shared" si="375"/>
        <v>4.5228454545454548</v>
      </c>
      <c r="XC51" s="90">
        <f t="shared" si="376"/>
        <v>0.4617</v>
      </c>
      <c r="XD51" s="90">
        <f t="shared" si="377"/>
        <v>0.15545454545454546</v>
      </c>
      <c r="XE51" s="90"/>
      <c r="XF51" s="90">
        <f t="shared" si="378"/>
        <v>15.39</v>
      </c>
      <c r="XG51" s="90">
        <v>4.4285607984504471</v>
      </c>
      <c r="XH51" s="20">
        <v>14.56</v>
      </c>
      <c r="XI51" s="20">
        <v>0</v>
      </c>
      <c r="XJ51" s="20"/>
      <c r="XK51" s="20"/>
      <c r="XL51" s="20"/>
      <c r="XM51" s="20">
        <f t="shared" si="379"/>
        <v>14.56</v>
      </c>
      <c r="XN51" s="91">
        <f t="shared" si="380"/>
        <v>104.87637362637361</v>
      </c>
      <c r="XO51" s="20">
        <f t="shared" si="381"/>
        <v>14.56</v>
      </c>
      <c r="XP51" s="90">
        <f t="shared" si="382"/>
        <v>14.56</v>
      </c>
      <c r="XQ51" s="91">
        <f t="shared" si="383"/>
        <v>104.87637362637361</v>
      </c>
      <c r="XR51" s="102"/>
      <c r="XS51" s="90">
        <f t="shared" si="384"/>
        <v>4.09</v>
      </c>
      <c r="XT51" s="90">
        <f t="shared" si="385"/>
        <v>6.16</v>
      </c>
      <c r="XU51" s="90">
        <f t="shared" si="386"/>
        <v>4.62</v>
      </c>
      <c r="XV51" s="90">
        <f t="shared" si="387"/>
        <v>0.59</v>
      </c>
      <c r="XW51" s="90">
        <f t="shared" si="388"/>
        <v>0.59</v>
      </c>
      <c r="XX51" s="90">
        <f t="shared" si="389"/>
        <v>0</v>
      </c>
      <c r="XY51" s="90">
        <f t="shared" si="390"/>
        <v>0.95</v>
      </c>
      <c r="XZ51" s="90">
        <f t="shared" si="391"/>
        <v>0</v>
      </c>
      <c r="YA51" s="90">
        <f t="shared" si="392"/>
        <v>0</v>
      </c>
      <c r="YB51" s="90">
        <f t="shared" si="552"/>
        <v>0</v>
      </c>
      <c r="YC51" s="90">
        <f t="shared" si="552"/>
        <v>0</v>
      </c>
      <c r="YD51" s="90">
        <f t="shared" si="394"/>
        <v>0.95</v>
      </c>
      <c r="YE51" s="90">
        <f t="shared" si="395"/>
        <v>4.43</v>
      </c>
      <c r="YF51" s="90">
        <f t="shared" si="396"/>
        <v>0.59</v>
      </c>
      <c r="YG51" s="90">
        <f t="shared" si="397"/>
        <v>15.27</v>
      </c>
      <c r="YI51" s="103" t="s">
        <v>475</v>
      </c>
      <c r="YK51" s="90">
        <f t="shared" si="398"/>
        <v>1.07</v>
      </c>
      <c r="YL51" s="90">
        <f t="shared" si="553"/>
        <v>0.59</v>
      </c>
      <c r="YM51" s="90">
        <f t="shared" si="553"/>
        <v>0.95</v>
      </c>
      <c r="YN51" s="90">
        <f t="shared" si="400"/>
        <v>4.09</v>
      </c>
      <c r="YO51" s="90">
        <f t="shared" si="401"/>
        <v>8.57</v>
      </c>
      <c r="YP51" s="90">
        <f t="shared" si="402"/>
        <v>0</v>
      </c>
      <c r="YQ51" s="90">
        <f t="shared" si="403"/>
        <v>15.27</v>
      </c>
      <c r="YR51" s="90">
        <f t="shared" si="404"/>
        <v>0</v>
      </c>
      <c r="YS51" s="104">
        <f t="shared" si="405"/>
        <v>15.27</v>
      </c>
      <c r="YT51" s="104">
        <f t="shared" si="406"/>
        <v>0</v>
      </c>
      <c r="YY51" s="90">
        <f t="shared" si="407"/>
        <v>8.2000000000000011</v>
      </c>
      <c r="YZ51" s="90">
        <f t="shared" si="408"/>
        <v>4.9800000000000004</v>
      </c>
      <c r="ZA51" s="90">
        <f t="shared" si="409"/>
        <v>0.62</v>
      </c>
      <c r="ZB51" s="90">
        <f t="shared" si="410"/>
        <v>1.8</v>
      </c>
      <c r="ZC51" s="90">
        <f t="shared" si="411"/>
        <v>0.8</v>
      </c>
      <c r="ZD51" s="90">
        <f t="shared" si="412"/>
        <v>0</v>
      </c>
      <c r="ZE51" s="90">
        <f t="shared" si="413"/>
        <v>0</v>
      </c>
      <c r="ZF51" s="90">
        <f t="shared" si="414"/>
        <v>0</v>
      </c>
      <c r="ZG51" s="90">
        <f t="shared" si="415"/>
        <v>0</v>
      </c>
      <c r="ZH51" s="90">
        <f t="shared" si="416"/>
        <v>0</v>
      </c>
      <c r="ZI51" s="90">
        <f t="shared" si="417"/>
        <v>0</v>
      </c>
      <c r="ZJ51" s="90">
        <f t="shared" si="418"/>
        <v>0</v>
      </c>
      <c r="ZK51" s="90">
        <f t="shared" si="419"/>
        <v>0</v>
      </c>
      <c r="ZL51" s="90">
        <f t="shared" si="420"/>
        <v>0</v>
      </c>
      <c r="ZM51" s="90">
        <f t="shared" si="421"/>
        <v>4.6100000000000003</v>
      </c>
      <c r="ZN51" s="90">
        <f t="shared" si="422"/>
        <v>6.2299999999999995</v>
      </c>
      <c r="ZO51" s="90">
        <f t="shared" si="423"/>
        <v>5.38</v>
      </c>
      <c r="ZP51" s="90">
        <f t="shared" si="424"/>
        <v>4.43</v>
      </c>
      <c r="ZQ51" s="90">
        <f t="shared" si="425"/>
        <v>0</v>
      </c>
      <c r="ZR51" s="90">
        <f t="shared" si="426"/>
        <v>4.43</v>
      </c>
      <c r="ZS51" s="97">
        <v>227</v>
      </c>
      <c r="ZT51" s="97">
        <v>230.38</v>
      </c>
      <c r="ZU51" s="90">
        <f t="shared" si="427"/>
        <v>0.54</v>
      </c>
      <c r="ZV51" s="90">
        <f t="shared" si="428"/>
        <v>0.19</v>
      </c>
      <c r="ZW51" s="90">
        <v>0.11989898989898991</v>
      </c>
      <c r="ZX51" s="90">
        <f t="shared" si="429"/>
        <v>0.17970000000000003</v>
      </c>
      <c r="ZY51" s="90">
        <v>0.38175323599898991</v>
      </c>
      <c r="ZZ51" s="90">
        <f t="shared" si="430"/>
        <v>0.73</v>
      </c>
      <c r="AAA51" s="90">
        <f t="shared" si="431"/>
        <v>17.970000000000002</v>
      </c>
      <c r="AAB51" s="90">
        <f t="shared" si="432"/>
        <v>17.970000000000002</v>
      </c>
      <c r="AAC51" s="90">
        <f t="shared" si="433"/>
        <v>0</v>
      </c>
      <c r="AAD51" s="90"/>
      <c r="AAE51" s="90">
        <f t="shared" si="434"/>
        <v>17.970000000000002</v>
      </c>
      <c r="AAF51" s="90">
        <v>15.27</v>
      </c>
      <c r="AAG51" s="90">
        <f t="shared" si="435"/>
        <v>117.68172888015719</v>
      </c>
      <c r="AAH51" s="90">
        <f t="shared" si="436"/>
        <v>0</v>
      </c>
      <c r="AAI51" s="90">
        <v>0</v>
      </c>
      <c r="AAJ51" s="90"/>
      <c r="AAK51" s="1">
        <v>17.8</v>
      </c>
      <c r="AAL51" s="104">
        <f t="shared" si="437"/>
        <v>0.17000000000000171</v>
      </c>
      <c r="AAM51" s="103" t="s">
        <v>475</v>
      </c>
      <c r="AAN51" s="105">
        <v>8.2900000000000009</v>
      </c>
      <c r="AAO51" s="90">
        <f t="shared" si="438"/>
        <v>8.9700000000000006</v>
      </c>
      <c r="AAP51" s="90">
        <v>4.97</v>
      </c>
      <c r="AAQ51" s="90">
        <f t="shared" si="439"/>
        <v>4.9800000000000004</v>
      </c>
      <c r="AAR51" s="90">
        <v>0.62</v>
      </c>
      <c r="AAS51" s="90">
        <f t="shared" si="440"/>
        <v>0.93</v>
      </c>
      <c r="AAT51" s="90">
        <f t="shared" si="441"/>
        <v>150</v>
      </c>
      <c r="AAU51" s="90">
        <v>1.9</v>
      </c>
      <c r="AAV51" s="90">
        <f t="shared" si="442"/>
        <v>1.8</v>
      </c>
      <c r="AAW51" s="90">
        <f t="shared" si="443"/>
        <v>94.736842105263165</v>
      </c>
      <c r="AAX51" s="90">
        <f t="shared" si="444"/>
        <v>0.46</v>
      </c>
      <c r="AAY51" s="90">
        <f t="shared" si="445"/>
        <v>0.8</v>
      </c>
      <c r="AAZ51" s="90">
        <f t="shared" si="446"/>
        <v>0</v>
      </c>
      <c r="ABA51" s="90">
        <f t="shared" si="447"/>
        <v>0</v>
      </c>
      <c r="ABB51" s="90">
        <f t="shared" si="448"/>
        <v>0</v>
      </c>
      <c r="ABC51" s="90">
        <v>0</v>
      </c>
      <c r="ABD51" s="90">
        <f t="shared" si="449"/>
        <v>0</v>
      </c>
      <c r="ABE51" s="90"/>
      <c r="ABF51" s="90">
        <v>0</v>
      </c>
      <c r="ABG51" s="90">
        <f t="shared" si="450"/>
        <v>0</v>
      </c>
      <c r="ABH51" s="90"/>
      <c r="ABI51" s="90">
        <f t="shared" si="451"/>
        <v>0</v>
      </c>
      <c r="ABJ51" s="90">
        <f t="shared" si="452"/>
        <v>0</v>
      </c>
      <c r="ABK51" s="90">
        <v>0</v>
      </c>
      <c r="ABL51" s="90">
        <f t="shared" si="453"/>
        <v>0</v>
      </c>
      <c r="ABM51" s="90">
        <f t="shared" si="454"/>
        <v>0</v>
      </c>
      <c r="ABN51" s="90">
        <f t="shared" si="455"/>
        <v>0</v>
      </c>
      <c r="ABO51" s="90">
        <v>4.3899999999999997</v>
      </c>
      <c r="ABP51" s="90">
        <f t="shared" si="456"/>
        <v>4.6100000000000003</v>
      </c>
      <c r="ABQ51" s="90">
        <f t="shared" si="457"/>
        <v>105.01138952164011</v>
      </c>
      <c r="ABR51" s="90">
        <f t="shared" si="458"/>
        <v>6.2299999999999995</v>
      </c>
      <c r="ABS51" s="90">
        <f t="shared" si="459"/>
        <v>5.38</v>
      </c>
      <c r="ABT51" s="90">
        <v>4.43</v>
      </c>
      <c r="ABU51" s="90">
        <f t="shared" si="460"/>
        <v>4.43</v>
      </c>
      <c r="ABV51" s="90">
        <f t="shared" si="461"/>
        <v>100</v>
      </c>
      <c r="ABW51" s="90">
        <f t="shared" si="462"/>
        <v>0</v>
      </c>
      <c r="ABX51" s="90">
        <f t="shared" si="463"/>
        <v>4.43</v>
      </c>
      <c r="ABY51" s="97">
        <v>227</v>
      </c>
      <c r="ABZ51" s="97">
        <v>230.38</v>
      </c>
      <c r="ACA51" s="90">
        <f t="shared" si="464"/>
        <v>0.54</v>
      </c>
      <c r="ACB51" s="90">
        <f t="shared" si="465"/>
        <v>0.19</v>
      </c>
      <c r="ACC51" s="90">
        <v>0.11989898989898991</v>
      </c>
      <c r="ACD51" s="90">
        <f t="shared" si="466"/>
        <v>0.18280000000000002</v>
      </c>
      <c r="ACE51" s="90">
        <v>0.38175323599898991</v>
      </c>
      <c r="ACF51" s="90">
        <v>0.69</v>
      </c>
      <c r="ACG51" s="90">
        <f t="shared" si="467"/>
        <v>0.73</v>
      </c>
      <c r="ACH51" s="90">
        <f t="shared" si="468"/>
        <v>105.79710144927536</v>
      </c>
      <c r="ACI51" s="90">
        <f t="shared" si="469"/>
        <v>18.740000000000002</v>
      </c>
      <c r="ACJ51" s="90">
        <f t="shared" si="470"/>
        <v>18.28</v>
      </c>
      <c r="ACK51" s="90">
        <f t="shared" si="471"/>
        <v>-0.46000000000000085</v>
      </c>
      <c r="ACL51" s="90"/>
      <c r="ACM51" s="90">
        <f t="shared" si="472"/>
        <v>18.740000000000002</v>
      </c>
      <c r="ACN51" s="90">
        <f t="shared" si="473"/>
        <v>0</v>
      </c>
      <c r="ACO51" s="90">
        <f t="shared" si="474"/>
        <v>18.740000000000002</v>
      </c>
      <c r="ACP51" s="90">
        <v>17.8</v>
      </c>
      <c r="ACQ51" s="90">
        <f t="shared" si="475"/>
        <v>105.28089887640451</v>
      </c>
      <c r="ACR51" s="90">
        <f t="shared" si="476"/>
        <v>0</v>
      </c>
      <c r="ACS51" s="90">
        <v>0</v>
      </c>
      <c r="ACT51" s="90"/>
      <c r="ACU51" s="90">
        <f t="shared" si="477"/>
        <v>18.707799999999999</v>
      </c>
      <c r="ACV51" s="90">
        <f t="shared" si="478"/>
        <v>-3.2200000000003115E-2</v>
      </c>
      <c r="ACX51" s="106" t="s">
        <v>551</v>
      </c>
      <c r="ACY51" s="107">
        <f>12500+10000</f>
        <v>22500</v>
      </c>
      <c r="ACZ51" s="107"/>
      <c r="ADB51" s="90">
        <f t="shared" si="479"/>
        <v>4.6100000000000003</v>
      </c>
      <c r="ADC51" s="90">
        <f t="shared" si="480"/>
        <v>8.9700000000000006</v>
      </c>
      <c r="ADD51" s="90">
        <f t="shared" si="481"/>
        <v>4.9800000000000004</v>
      </c>
      <c r="ADE51" s="90">
        <f t="shared" si="517"/>
        <v>2.1900000000000004</v>
      </c>
      <c r="ADF51" s="90">
        <f t="shared" si="483"/>
        <v>0.93</v>
      </c>
      <c r="ADG51" s="90">
        <f t="shared" si="554"/>
        <v>0.46</v>
      </c>
      <c r="ADH51" s="90">
        <f t="shared" si="554"/>
        <v>0.8</v>
      </c>
      <c r="ADI51" s="90">
        <f t="shared" si="554"/>
        <v>0</v>
      </c>
      <c r="ADJ51" s="90">
        <f t="shared" si="485"/>
        <v>1.8</v>
      </c>
      <c r="ADK51" s="90">
        <f t="shared" si="486"/>
        <v>0</v>
      </c>
      <c r="ADL51" s="90">
        <f t="shared" si="487"/>
        <v>0</v>
      </c>
      <c r="ADM51" s="90">
        <f t="shared" si="555"/>
        <v>0</v>
      </c>
      <c r="ADN51" s="90">
        <f t="shared" si="555"/>
        <v>0</v>
      </c>
      <c r="ADO51" s="90">
        <f t="shared" si="489"/>
        <v>1.8</v>
      </c>
      <c r="ADP51" s="90">
        <f t="shared" si="490"/>
        <v>4.43</v>
      </c>
      <c r="ADQ51" s="90">
        <f t="shared" si="491"/>
        <v>0.73</v>
      </c>
      <c r="ADR51" s="90">
        <f t="shared" si="492"/>
        <v>18.740000000000002</v>
      </c>
      <c r="ADU51" s="90">
        <f t="shared" si="493"/>
        <v>1.1499999999999999</v>
      </c>
      <c r="ADV51" s="90">
        <f t="shared" si="494"/>
        <v>0.93</v>
      </c>
      <c r="ADW51" s="90">
        <f t="shared" si="495"/>
        <v>1.8</v>
      </c>
      <c r="ADX51" s="90">
        <f t="shared" si="496"/>
        <v>4.6100000000000003</v>
      </c>
      <c r="ADY51" s="90">
        <f t="shared" si="497"/>
        <v>9.7900000000000009</v>
      </c>
      <c r="ADZ51" s="90">
        <f t="shared" si="498"/>
        <v>0</v>
      </c>
      <c r="AEA51" s="90">
        <f t="shared" si="499"/>
        <v>18.740000000000002</v>
      </c>
      <c r="AEB51" s="90">
        <f t="shared" si="500"/>
        <v>0</v>
      </c>
      <c r="AEC51" s="104">
        <f t="shared" si="501"/>
        <v>18.28</v>
      </c>
      <c r="AED51" s="104">
        <f t="shared" si="502"/>
        <v>0.46000000000000085</v>
      </c>
      <c r="AEG51" s="1">
        <v>8.2900000000000009</v>
      </c>
      <c r="AEH51" s="1">
        <v>4.97</v>
      </c>
      <c r="AEI51" s="1">
        <v>0.62</v>
      </c>
      <c r="AEJ51" s="1">
        <v>1.9</v>
      </c>
      <c r="AEK51" s="1">
        <v>0</v>
      </c>
      <c r="AEL51" s="1">
        <v>0.8</v>
      </c>
      <c r="AEM51" s="1">
        <v>0</v>
      </c>
      <c r="AEN51" s="1">
        <v>0</v>
      </c>
      <c r="AEO51" s="1">
        <v>0</v>
      </c>
      <c r="AEP51" s="1">
        <v>0</v>
      </c>
      <c r="AEQ51" s="1">
        <v>0</v>
      </c>
      <c r="AER51" s="1">
        <v>0</v>
      </c>
      <c r="AES51" s="1">
        <v>0</v>
      </c>
      <c r="AET51" s="1">
        <v>0</v>
      </c>
      <c r="AEU51" s="1">
        <v>0</v>
      </c>
      <c r="AEV51" s="1">
        <v>0</v>
      </c>
      <c r="AEW51" s="1">
        <v>4.3899999999999997</v>
      </c>
      <c r="AEX51" s="1">
        <v>6.33</v>
      </c>
      <c r="AEY51" s="1">
        <v>5.38</v>
      </c>
      <c r="AEZ51" s="1">
        <v>4.43</v>
      </c>
      <c r="AFA51" s="1">
        <v>0</v>
      </c>
      <c r="AFB51" s="1">
        <v>4.43</v>
      </c>
      <c r="AFC51" s="1">
        <v>227</v>
      </c>
      <c r="AFD51" s="1">
        <v>230.38</v>
      </c>
      <c r="AFE51" s="1">
        <v>0.51</v>
      </c>
      <c r="AFF51" s="1">
        <v>0.18</v>
      </c>
      <c r="AFG51" s="1">
        <v>0.11989898989898991</v>
      </c>
      <c r="AFH51" s="1">
        <v>0.17800000000000002</v>
      </c>
      <c r="AFI51" s="1">
        <v>0.38175323599898991</v>
      </c>
      <c r="AFJ51" s="1">
        <v>0.69</v>
      </c>
      <c r="AFK51" s="1">
        <v>17.8</v>
      </c>
      <c r="AFL51" s="1">
        <v>17.8</v>
      </c>
      <c r="AFM51" s="1">
        <v>0</v>
      </c>
      <c r="AFO51" s="1">
        <v>17.8</v>
      </c>
      <c r="AFP51" s="1">
        <v>0</v>
      </c>
      <c r="AFQ51" s="1">
        <v>17.8</v>
      </c>
      <c r="AFX51" s="1">
        <v>18.45</v>
      </c>
    </row>
    <row r="52" spans="1:856" s="1" customFormat="1" ht="63.75" customHeight="1">
      <c r="A52" s="88">
        <v>44</v>
      </c>
      <c r="B52" s="20"/>
      <c r="C52" s="89" t="s">
        <v>552</v>
      </c>
      <c r="D52" s="20"/>
      <c r="E52" s="20" t="s">
        <v>536</v>
      </c>
      <c r="F52" s="20" t="s">
        <v>537</v>
      </c>
      <c r="G52" s="20">
        <v>1.2</v>
      </c>
      <c r="H52" s="20">
        <v>929.2</v>
      </c>
      <c r="I52" s="20">
        <f>929.2+1.9</f>
        <v>931.1</v>
      </c>
      <c r="J52" s="20">
        <f t="shared" si="0"/>
        <v>1117.32</v>
      </c>
      <c r="K52" s="20">
        <v>18</v>
      </c>
      <c r="L52" s="20">
        <v>32</v>
      </c>
      <c r="M52" s="20">
        <v>39</v>
      </c>
      <c r="N52" s="20">
        <v>961.87</v>
      </c>
      <c r="O52" s="90">
        <f t="shared" si="1"/>
        <v>1.03</v>
      </c>
      <c r="P52" s="20">
        <v>3456</v>
      </c>
      <c r="Q52" s="90">
        <f>P52/12</f>
        <v>288</v>
      </c>
      <c r="R52" s="90">
        <f t="shared" si="2"/>
        <v>0.31</v>
      </c>
      <c r="S52" s="20">
        <v>81.7</v>
      </c>
      <c r="T52" s="20">
        <v>2.6</v>
      </c>
      <c r="U52" s="20">
        <v>3.13</v>
      </c>
      <c r="V52" s="91">
        <f t="shared" si="3"/>
        <v>664.87</v>
      </c>
      <c r="W52" s="20">
        <v>2.1000000000000001E-2</v>
      </c>
      <c r="X52" s="20">
        <f t="shared" si="4"/>
        <v>33.42</v>
      </c>
      <c r="Y52" s="91">
        <f t="shared" si="5"/>
        <v>57.34</v>
      </c>
      <c r="Z52" s="20">
        <v>1.7999999999999999E-2</v>
      </c>
      <c r="AA52" s="20">
        <f t="shared" si="561"/>
        <v>171.12</v>
      </c>
      <c r="AB52" s="91">
        <f t="shared" si="562"/>
        <v>251.65</v>
      </c>
      <c r="AC52" s="91">
        <f t="shared" si="6"/>
        <v>973.86</v>
      </c>
      <c r="AD52" s="90">
        <f t="shared" si="7"/>
        <v>1.05</v>
      </c>
      <c r="AE52" s="92">
        <f t="shared" si="8"/>
        <v>11686.32</v>
      </c>
      <c r="AF52" s="20">
        <v>45</v>
      </c>
      <c r="AG52" s="20">
        <v>40</v>
      </c>
      <c r="AH52" s="20">
        <v>40</v>
      </c>
      <c r="AI52" s="20">
        <v>35</v>
      </c>
      <c r="AJ52" s="20">
        <v>1.6</v>
      </c>
      <c r="AK52" s="90">
        <f t="shared" si="9"/>
        <v>5.33</v>
      </c>
      <c r="AL52" s="90">
        <v>391.01</v>
      </c>
      <c r="AM52" s="90">
        <f t="shared" si="10"/>
        <v>2084.08</v>
      </c>
      <c r="AN52" s="20">
        <v>44</v>
      </c>
      <c r="AO52" s="20">
        <v>39</v>
      </c>
      <c r="AP52" s="20">
        <v>45</v>
      </c>
      <c r="AQ52" s="20">
        <v>44</v>
      </c>
      <c r="AR52" s="20">
        <v>39</v>
      </c>
      <c r="AS52" s="20">
        <v>42</v>
      </c>
      <c r="AT52" s="20">
        <f t="shared" si="11"/>
        <v>5</v>
      </c>
      <c r="AU52" s="20">
        <v>1.6</v>
      </c>
      <c r="AV52" s="90">
        <f t="shared" si="12"/>
        <v>6</v>
      </c>
      <c r="AW52" s="90">
        <f t="shared" si="551"/>
        <v>188.88</v>
      </c>
      <c r="AX52" s="90">
        <v>1057.73</v>
      </c>
      <c r="AY52" s="90">
        <f t="shared" si="14"/>
        <v>1.1399999999999999</v>
      </c>
      <c r="AZ52" s="90">
        <f t="shared" si="15"/>
        <v>2346.06</v>
      </c>
      <c r="BA52" s="90">
        <f t="shared" si="16"/>
        <v>-1288.33</v>
      </c>
      <c r="BB52" s="90">
        <v>1057.73</v>
      </c>
      <c r="BC52" s="90">
        <v>1.1399999999999999</v>
      </c>
      <c r="BD52" s="92">
        <f t="shared" si="17"/>
        <v>12692.76</v>
      </c>
      <c r="BE52" s="90"/>
      <c r="BF52" s="90">
        <f t="shared" si="18"/>
        <v>0</v>
      </c>
      <c r="BG52" s="90">
        <v>391.01</v>
      </c>
      <c r="BH52" s="90">
        <f t="shared" si="19"/>
        <v>2346.06</v>
      </c>
      <c r="BI52" s="90">
        <f t="shared" si="20"/>
        <v>2.52</v>
      </c>
      <c r="BJ52" s="90">
        <f t="shared" si="21"/>
        <v>221.0526315789474</v>
      </c>
      <c r="BK52" s="90">
        <f t="shared" si="22"/>
        <v>2346.06</v>
      </c>
      <c r="BL52" s="90">
        <f t="shared" si="23"/>
        <v>2.52</v>
      </c>
      <c r="BM52" s="90"/>
      <c r="BN52" s="90">
        <f t="shared" si="24"/>
        <v>0</v>
      </c>
      <c r="BO52" s="90">
        <f t="shared" si="25"/>
        <v>2346.06</v>
      </c>
      <c r="BP52" s="90">
        <f t="shared" si="26"/>
        <v>2.5196649124691226</v>
      </c>
      <c r="BQ52" s="90"/>
      <c r="BR52" s="90">
        <f t="shared" si="27"/>
        <v>0</v>
      </c>
      <c r="BS52" s="90">
        <f t="shared" si="28"/>
        <v>2346.06</v>
      </c>
      <c r="BT52" s="90">
        <f t="shared" si="29"/>
        <v>2.5196649124691226</v>
      </c>
      <c r="BU52" s="90"/>
      <c r="BV52" s="93">
        <v>1.7027650000000001</v>
      </c>
      <c r="BW52" s="90">
        <f t="shared" si="30"/>
        <v>1585.4444915000001</v>
      </c>
      <c r="BX52" s="90">
        <f t="shared" si="31"/>
        <v>1680.5711609900002</v>
      </c>
      <c r="BY52" s="90"/>
      <c r="BZ52" s="90">
        <v>2170.1158434800004</v>
      </c>
      <c r="CA52" s="90">
        <v>0.37305430897000003</v>
      </c>
      <c r="CB52" s="90">
        <f t="shared" si="556"/>
        <v>347.35086708196701</v>
      </c>
      <c r="CC52" s="90">
        <v>0.37305430897000003</v>
      </c>
      <c r="CD52" s="90">
        <f t="shared" si="563"/>
        <v>347.35086708196701</v>
      </c>
      <c r="CE52" s="90">
        <f t="shared" si="564"/>
        <v>347.35086708196701</v>
      </c>
      <c r="CF52" s="90">
        <v>336.86629163818293</v>
      </c>
      <c r="CG52" s="90">
        <v>336.86629163818293</v>
      </c>
      <c r="CH52" s="90">
        <f t="shared" si="565"/>
        <v>336.87</v>
      </c>
      <c r="CI52" s="90">
        <f t="shared" si="601"/>
        <v>354.81840182588758</v>
      </c>
      <c r="CJ52" s="90">
        <f t="shared" si="36"/>
        <v>355.4</v>
      </c>
      <c r="CK52" s="90">
        <f t="shared" si="37"/>
        <v>382.80398817793639</v>
      </c>
      <c r="CL52" s="90">
        <f t="shared" si="38"/>
        <v>382.80398817793639</v>
      </c>
      <c r="CM52" s="94">
        <v>0.14899999999999999</v>
      </c>
      <c r="CN52" s="90">
        <f t="shared" si="39"/>
        <v>236.23122923350002</v>
      </c>
      <c r="CO52" s="90">
        <f t="shared" si="40"/>
        <v>250.40510298751002</v>
      </c>
      <c r="CP52" s="90">
        <v>323.34766200000001</v>
      </c>
      <c r="CQ52" s="90">
        <v>5.0232736819999999E-2</v>
      </c>
      <c r="CR52" s="90">
        <f t="shared" si="557"/>
        <v>46.771701253102002</v>
      </c>
      <c r="CS52" s="90">
        <v>5.0232736819999999E-2</v>
      </c>
      <c r="CT52" s="90">
        <f t="shared" si="566"/>
        <v>46.771701253102002</v>
      </c>
      <c r="CU52" s="90">
        <f t="shared" si="567"/>
        <v>46.771701253102002</v>
      </c>
      <c r="CV52" s="90">
        <v>96.62877864475486</v>
      </c>
      <c r="CW52" s="90">
        <f t="shared" si="568"/>
        <v>96.63</v>
      </c>
      <c r="CX52" s="90">
        <f t="shared" si="602"/>
        <v>101.77843728570521</v>
      </c>
      <c r="CY52" s="90">
        <f t="shared" si="45"/>
        <v>101.94</v>
      </c>
      <c r="CZ52" s="90">
        <f t="shared" si="46"/>
        <v>109.80600640494551</v>
      </c>
      <c r="DA52" s="90">
        <f t="shared" si="47"/>
        <v>109.80600640494551</v>
      </c>
      <c r="DB52" s="93">
        <v>1.1979820000000001</v>
      </c>
      <c r="DC52" s="90">
        <f t="shared" si="48"/>
        <v>1115.4410402000001</v>
      </c>
      <c r="DD52" s="90">
        <f t="shared" si="49"/>
        <v>1182.3675026120002</v>
      </c>
      <c r="DE52" s="90"/>
      <c r="DF52" s="90">
        <v>629.59294932991338</v>
      </c>
      <c r="DG52" s="90">
        <v>0.28219173505</v>
      </c>
      <c r="DH52" s="90">
        <f t="shared" si="558"/>
        <v>262.74872450505501</v>
      </c>
      <c r="DI52" s="90">
        <v>0.28219173505</v>
      </c>
      <c r="DJ52" s="90">
        <f t="shared" si="569"/>
        <v>262.74872450505501</v>
      </c>
      <c r="DK52" s="90">
        <f t="shared" si="570"/>
        <v>262.74872450505501</v>
      </c>
      <c r="DL52" s="90">
        <v>212.75243604945695</v>
      </c>
      <c r="DM52" s="90">
        <f t="shared" si="571"/>
        <v>212.75</v>
      </c>
      <c r="DN52" s="90">
        <f t="shared" si="603"/>
        <v>224.08529993308272</v>
      </c>
      <c r="DO52" s="90">
        <f t="shared" si="54"/>
        <v>224.45</v>
      </c>
      <c r="DP52" s="90">
        <f t="shared" si="55"/>
        <v>241.7595763494997</v>
      </c>
      <c r="DQ52" s="90">
        <f t="shared" si="56"/>
        <v>241.7595763494997</v>
      </c>
      <c r="DR52" s="93">
        <v>4.2594E-2</v>
      </c>
      <c r="DS52" s="90">
        <f t="shared" si="57"/>
        <v>39.659273400000004</v>
      </c>
      <c r="DT52" s="90">
        <f t="shared" si="58"/>
        <v>42.038829804000002</v>
      </c>
      <c r="DU52" s="90">
        <v>23.813248038301381</v>
      </c>
      <c r="DV52" s="90">
        <v>1.366632888E-2</v>
      </c>
      <c r="DW52" s="90">
        <f t="shared" si="559"/>
        <v>12.724718820168</v>
      </c>
      <c r="DX52" s="90">
        <v>1.366632888E-2</v>
      </c>
      <c r="DY52" s="90">
        <f t="shared" si="572"/>
        <v>12.724718820168</v>
      </c>
      <c r="DZ52" s="90">
        <f t="shared" si="573"/>
        <v>12.724718820168</v>
      </c>
      <c r="EA52" s="90">
        <f t="shared" si="574"/>
        <v>12.72</v>
      </c>
      <c r="EB52" s="90">
        <f t="shared" si="604"/>
        <v>13.397720400229435</v>
      </c>
      <c r="EC52" s="90">
        <f t="shared" si="63"/>
        <v>13.42</v>
      </c>
      <c r="ED52" s="90">
        <f t="shared" si="64"/>
        <v>14.454438595373144</v>
      </c>
      <c r="EE52" s="90">
        <f t="shared" si="65"/>
        <v>14.454438595373144</v>
      </c>
      <c r="EF52" s="94">
        <v>0.85293354333000004</v>
      </c>
      <c r="EG52" s="90">
        <f t="shared" si="66"/>
        <v>952.99970663347563</v>
      </c>
      <c r="EH52" s="90">
        <f t="shared" si="67"/>
        <v>1010.1796890314843</v>
      </c>
      <c r="EI52" s="90">
        <v>814.10561195227024</v>
      </c>
      <c r="EJ52" s="90">
        <v>0.13912706999999999</v>
      </c>
      <c r="EK52" s="90">
        <f t="shared" si="595"/>
        <v>155.44945785239997</v>
      </c>
      <c r="EL52" s="90">
        <v>0.16695248382</v>
      </c>
      <c r="EM52" s="90">
        <f t="shared" si="575"/>
        <v>155.44945768480201</v>
      </c>
      <c r="EN52" s="90">
        <f t="shared" si="576"/>
        <v>155.44945768480201</v>
      </c>
      <c r="EO52" s="90">
        <v>151.26468941543777</v>
      </c>
      <c r="EP52" s="90">
        <f t="shared" si="577"/>
        <v>151.26</v>
      </c>
      <c r="EQ52" s="90">
        <f t="shared" si="605"/>
        <v>159.319118532917</v>
      </c>
      <c r="ER52" s="90">
        <f t="shared" si="72"/>
        <v>159.58000000000001</v>
      </c>
      <c r="ES52" s="90">
        <f t="shared" si="73"/>
        <v>171.885092919508</v>
      </c>
      <c r="ET52" s="90">
        <f t="shared" si="74"/>
        <v>171.885092919508</v>
      </c>
      <c r="EU52" s="94">
        <v>0.14899999999999999</v>
      </c>
      <c r="EV52" s="90">
        <f t="shared" si="75"/>
        <v>141.99695628838785</v>
      </c>
      <c r="EW52" s="90">
        <f t="shared" si="76"/>
        <v>150.51677366569112</v>
      </c>
      <c r="EX52" s="90">
        <v>121.31791849043657</v>
      </c>
      <c r="EY52" s="90">
        <v>2.0730999999999999E-2</v>
      </c>
      <c r="EZ52" s="90">
        <f t="shared" si="596"/>
        <v>23.163160919999999</v>
      </c>
      <c r="FA52" s="90">
        <v>2.4876671749999999E-2</v>
      </c>
      <c r="FB52" s="90">
        <f t="shared" si="578"/>
        <v>23.162669066425</v>
      </c>
      <c r="FC52" s="90">
        <f t="shared" si="579"/>
        <v>23.162669066425</v>
      </c>
      <c r="FD52" s="90">
        <v>46.754589189406609</v>
      </c>
      <c r="FE52" s="90">
        <f t="shared" si="580"/>
        <v>46.75</v>
      </c>
      <c r="FF52" s="90">
        <f t="shared" si="606"/>
        <v>49.240835590465885</v>
      </c>
      <c r="FG52" s="90">
        <f t="shared" si="81"/>
        <v>49.32</v>
      </c>
      <c r="FH52" s="90">
        <f t="shared" si="82"/>
        <v>53.124607258938241</v>
      </c>
      <c r="FI52" s="90">
        <f t="shared" si="83"/>
        <v>53.124607258938241</v>
      </c>
      <c r="FJ52" s="93">
        <v>0.49981642240000002</v>
      </c>
      <c r="FK52" s="90">
        <f t="shared" si="84"/>
        <v>558.45488507596804</v>
      </c>
      <c r="FL52" s="90">
        <f t="shared" si="85"/>
        <v>591.96217818052617</v>
      </c>
      <c r="FM52" s="90">
        <v>449.07789627655723</v>
      </c>
      <c r="FN52" s="90">
        <v>8.9680701000000002E-2</v>
      </c>
      <c r="FO52" s="90">
        <f t="shared" si="597"/>
        <v>100.20204084132</v>
      </c>
      <c r="FP52" s="90">
        <v>0.10761684168000001</v>
      </c>
      <c r="FQ52" s="90">
        <f t="shared" si="581"/>
        <v>100.20204128824801</v>
      </c>
      <c r="FR52" s="90">
        <f t="shared" si="582"/>
        <v>100.20204128824801</v>
      </c>
      <c r="FS52" s="90">
        <v>77.741177958314211</v>
      </c>
      <c r="FT52" s="90">
        <f t="shared" si="89"/>
        <v>81.47</v>
      </c>
      <c r="FU52" s="90">
        <v>91.418675942359414</v>
      </c>
      <c r="FV52" s="90">
        <f t="shared" si="583"/>
        <v>91.42</v>
      </c>
      <c r="FW52" s="90">
        <f t="shared" si="607"/>
        <v>96.290848977120675</v>
      </c>
      <c r="FX52" s="90">
        <f t="shared" si="91"/>
        <v>96.45</v>
      </c>
      <c r="FY52" s="90">
        <f t="shared" si="92"/>
        <v>103.88559562806705</v>
      </c>
      <c r="FZ52" s="90">
        <f t="shared" si="93"/>
        <v>103.88559562806705</v>
      </c>
      <c r="GA52" s="94">
        <v>1.352261642E-2</v>
      </c>
      <c r="GB52" s="90">
        <f t="shared" si="94"/>
        <v>15.109089778394399</v>
      </c>
      <c r="GC52" s="90">
        <f t="shared" si="95"/>
        <v>16.015635165098065</v>
      </c>
      <c r="GD52" s="90">
        <v>13.108296696771635</v>
      </c>
      <c r="GE52" s="90">
        <v>2.4267E-3</v>
      </c>
      <c r="GF52" s="90">
        <f t="shared" si="598"/>
        <v>2.7114004439999997</v>
      </c>
      <c r="GG52" s="90">
        <v>2.9119942899999999E-3</v>
      </c>
      <c r="GH52" s="90">
        <f t="shared" si="584"/>
        <v>2.7113578834190002</v>
      </c>
      <c r="GI52" s="90">
        <f t="shared" si="585"/>
        <v>2.7113578834190002</v>
      </c>
      <c r="GJ52" s="90">
        <f t="shared" si="586"/>
        <v>2.71</v>
      </c>
      <c r="GK52" s="90">
        <f t="shared" si="608"/>
        <v>2.8543885443885038</v>
      </c>
      <c r="GL52" s="90">
        <f t="shared" si="100"/>
        <v>2.86</v>
      </c>
      <c r="GM52" s="90">
        <f t="shared" si="101"/>
        <v>3.07952268816519</v>
      </c>
      <c r="GN52" s="90">
        <f t="shared" si="102"/>
        <v>3.07952268816519</v>
      </c>
      <c r="GO52" s="90">
        <v>3628.8</v>
      </c>
      <c r="GP52" s="90">
        <f t="shared" si="103"/>
        <v>302.40000000000003</v>
      </c>
      <c r="GQ52" s="90">
        <f>2381.4+554.4</f>
        <v>2935.8</v>
      </c>
      <c r="GR52" s="90">
        <f t="shared" si="104"/>
        <v>244.65</v>
      </c>
      <c r="GS52" s="90">
        <f t="shared" si="105"/>
        <v>547.05000000000007</v>
      </c>
      <c r="GT52" s="90">
        <f t="shared" si="106"/>
        <v>0.59</v>
      </c>
      <c r="GU52" s="90">
        <v>4145.04</v>
      </c>
      <c r="GV52" s="90">
        <f>2257.2+528.96</f>
        <v>2786.16</v>
      </c>
      <c r="GW52" s="90">
        <f t="shared" si="107"/>
        <v>577.6</v>
      </c>
      <c r="GX52" s="90">
        <f t="shared" si="108"/>
        <v>0.62</v>
      </c>
      <c r="GY52" s="90">
        <v>7407.72</v>
      </c>
      <c r="GZ52" s="90">
        <f>2400.84+565.44</f>
        <v>2966.28</v>
      </c>
      <c r="HA52" s="90">
        <f t="shared" si="109"/>
        <v>864.5</v>
      </c>
      <c r="HB52" s="90">
        <f t="shared" si="110"/>
        <v>0.93</v>
      </c>
      <c r="HC52" s="90">
        <v>7407.72</v>
      </c>
      <c r="HD52" s="90">
        <f>2400.84+565.44</f>
        <v>2966.28</v>
      </c>
      <c r="HE52" s="90">
        <f t="shared" si="111"/>
        <v>864.5</v>
      </c>
      <c r="HF52" s="90">
        <f t="shared" si="112"/>
        <v>0.93</v>
      </c>
      <c r="HG52" s="90"/>
      <c r="HH52" s="90"/>
      <c r="HI52" s="90">
        <v>0.96</v>
      </c>
      <c r="HJ52" s="90">
        <f t="shared" si="113"/>
        <v>893.85599999999999</v>
      </c>
      <c r="HK52" s="90">
        <f t="shared" si="114"/>
        <v>1.0099237461067554</v>
      </c>
      <c r="HL52" s="90">
        <f t="shared" si="587"/>
        <v>940.34</v>
      </c>
      <c r="HM52" s="90">
        <v>1.07</v>
      </c>
      <c r="HN52" s="90">
        <f t="shared" si="116"/>
        <v>996.27700000000004</v>
      </c>
      <c r="HO52" s="90">
        <v>1.1499999999999999</v>
      </c>
      <c r="HP52" s="90">
        <f t="shared" si="117"/>
        <v>1070.77</v>
      </c>
      <c r="HQ52" s="90">
        <v>1.1499999999999999</v>
      </c>
      <c r="HR52" s="90">
        <f t="shared" si="118"/>
        <v>1070.77</v>
      </c>
      <c r="HS52" s="90">
        <v>0.96</v>
      </c>
      <c r="HT52" s="90">
        <f t="shared" si="588"/>
        <v>893.85599999999999</v>
      </c>
      <c r="HU52" s="90" t="e">
        <f>HT52*#REF!</f>
        <v>#REF!</v>
      </c>
      <c r="HV52" s="90">
        <v>2.83</v>
      </c>
      <c r="HW52" s="20">
        <v>3.49</v>
      </c>
      <c r="HX52" s="90">
        <f t="shared" si="120"/>
        <v>3249.5390000000002</v>
      </c>
      <c r="HY52" s="90">
        <v>1.06</v>
      </c>
      <c r="HZ52" s="90">
        <f t="shared" si="121"/>
        <v>3444.5113400000005</v>
      </c>
      <c r="IA52" s="90">
        <f t="shared" si="122"/>
        <v>3.7</v>
      </c>
      <c r="IB52" s="90">
        <f t="shared" si="123"/>
        <v>3.88</v>
      </c>
      <c r="IC52" s="90">
        <f t="shared" si="124"/>
        <v>3612.6680000000001</v>
      </c>
      <c r="ID52" s="90">
        <f t="shared" si="125"/>
        <v>4.09</v>
      </c>
      <c r="IE52" s="90">
        <f t="shared" si="126"/>
        <v>3808.2</v>
      </c>
      <c r="IF52" s="90">
        <f t="shared" si="127"/>
        <v>4.09</v>
      </c>
      <c r="IG52" s="92">
        <f t="shared" si="128"/>
        <v>45698.399999999994</v>
      </c>
      <c r="IH52" s="90">
        <v>4.3899999999999997</v>
      </c>
      <c r="II52" s="90">
        <f t="shared" si="129"/>
        <v>4.6100000000000003</v>
      </c>
      <c r="IJ52" s="90">
        <f t="shared" si="130"/>
        <v>4292.37</v>
      </c>
      <c r="IK52" s="90">
        <f t="shared" si="131"/>
        <v>4.6100000000000003</v>
      </c>
      <c r="IL52" s="90">
        <f t="shared" si="132"/>
        <v>4292.37</v>
      </c>
      <c r="IM52" s="90">
        <f t="shared" si="133"/>
        <v>4.6100000000000003</v>
      </c>
      <c r="IN52" s="90">
        <f t="shared" si="134"/>
        <v>4292.37</v>
      </c>
      <c r="IO52" s="90">
        <f t="shared" si="135"/>
        <v>4.6100000000000003</v>
      </c>
      <c r="IP52" s="93">
        <v>0.37052404126999999</v>
      </c>
      <c r="IQ52" s="90">
        <f t="shared" si="136"/>
        <v>413.99392179179637</v>
      </c>
      <c r="IR52" s="90">
        <f t="shared" si="137"/>
        <v>438.83355709930419</v>
      </c>
      <c r="IS52" s="90">
        <v>18121.54</v>
      </c>
      <c r="IT52" s="90">
        <v>509.05</v>
      </c>
      <c r="IU52" s="90"/>
      <c r="IV52" s="90">
        <v>221.10209176482795</v>
      </c>
      <c r="IW52" s="90">
        <v>1.575999989</v>
      </c>
      <c r="IX52" s="90">
        <f>$J52*IW52</f>
        <v>1760.89630770948</v>
      </c>
      <c r="IY52" s="90">
        <v>1.89119998663</v>
      </c>
      <c r="IZ52" s="90">
        <f t="shared" si="139"/>
        <v>1760.8963075511931</v>
      </c>
      <c r="JA52" s="90">
        <f t="shared" si="589"/>
        <v>1714.34</v>
      </c>
      <c r="JB52" s="90">
        <f t="shared" si="609"/>
        <v>1805.6798735007333</v>
      </c>
      <c r="JC52" s="90">
        <f t="shared" si="141"/>
        <v>1808.63</v>
      </c>
      <c r="JD52" s="90">
        <f t="shared" si="142"/>
        <v>1948.0992344018864</v>
      </c>
      <c r="JE52" s="90">
        <f t="shared" si="143"/>
        <v>1948.0992344018864</v>
      </c>
      <c r="JF52" s="93">
        <v>4.2278943710000003E-2</v>
      </c>
      <c r="JG52" s="90">
        <f t="shared" si="144"/>
        <v>47.239109386057201</v>
      </c>
      <c r="JH52" s="90">
        <f t="shared" si="145"/>
        <v>50.073455949220637</v>
      </c>
      <c r="JI52" s="20">
        <v>101.71</v>
      </c>
      <c r="JJ52" s="90">
        <v>28.138004953221415</v>
      </c>
      <c r="JK52" s="90">
        <v>0.17965928</v>
      </c>
      <c r="JL52" s="90">
        <f>$J52*JK52</f>
        <v>200.73690672959998</v>
      </c>
      <c r="JM52" s="90">
        <v>0.21559114040999999</v>
      </c>
      <c r="JN52" s="90">
        <f t="shared" si="147"/>
        <v>200.73691083575099</v>
      </c>
      <c r="JO52" s="90">
        <f t="shared" si="590"/>
        <v>200.74</v>
      </c>
      <c r="JP52" s="90">
        <f t="shared" si="610"/>
        <v>211.43540826588497</v>
      </c>
      <c r="JQ52" s="90">
        <f t="shared" si="149"/>
        <v>211.78</v>
      </c>
      <c r="JR52" s="90">
        <f t="shared" si="150"/>
        <v>228.11194997132117</v>
      </c>
      <c r="JS52" s="90">
        <f t="shared" si="151"/>
        <v>228.11194997132117</v>
      </c>
      <c r="JT52" s="93">
        <v>7.3220517000000002E-3</v>
      </c>
      <c r="JU52" s="90">
        <f t="shared" si="152"/>
        <v>8.1810748054440001</v>
      </c>
      <c r="JV52" s="90">
        <f t="shared" si="591"/>
        <v>8.18</v>
      </c>
      <c r="JW52" s="90">
        <f t="shared" si="611"/>
        <v>8.6158296284494327</v>
      </c>
      <c r="JX52" s="90">
        <f t="shared" si="154"/>
        <v>8.6300000000000008</v>
      </c>
      <c r="JY52" s="90">
        <f t="shared" si="155"/>
        <v>9.2953858262698379</v>
      </c>
      <c r="JZ52" s="90">
        <f t="shared" si="156"/>
        <v>9.2953858262698379</v>
      </c>
      <c r="KA52" s="90">
        <v>7.3220500000000001E-3</v>
      </c>
      <c r="KB52" s="90">
        <f t="shared" si="599"/>
        <v>8.1810729059999989</v>
      </c>
      <c r="KC52" s="90" t="e">
        <f>KB52*#REF!</f>
        <v>#REF!</v>
      </c>
      <c r="KD52" s="90">
        <v>17952.740000000002</v>
      </c>
      <c r="KE52" s="90">
        <v>22700.14</v>
      </c>
      <c r="KF52" s="90"/>
      <c r="KG52" s="90">
        <f t="shared" si="550"/>
        <v>1177.3189136588619</v>
      </c>
      <c r="KH52" s="90" t="e">
        <f>KG52/(BW52+#REF!)*(CB52+#REF!)</f>
        <v>#REF!</v>
      </c>
      <c r="KI52" s="90">
        <v>0.8</v>
      </c>
      <c r="KJ52" s="94"/>
      <c r="KK52" s="90">
        <f t="shared" si="159"/>
        <v>0</v>
      </c>
      <c r="KL52" s="93">
        <v>1.7272052</v>
      </c>
      <c r="KM52" s="90">
        <f t="shared" si="600"/>
        <v>1608.2007617199999</v>
      </c>
      <c r="KN52" s="90">
        <f t="shared" si="161"/>
        <v>1704.6928074232001</v>
      </c>
      <c r="KO52" s="90" t="e">
        <f>BW52+CN52+DC52+DS52+EG52+EV52+FK52+GB52+#REF!+#REF!+HJ52+HX52+IQ52+JG52+JU52+KK52+KM52</f>
        <v>#REF!</v>
      </c>
      <c r="KP52" s="90">
        <v>1266.5599654907273</v>
      </c>
      <c r="KQ52" s="90">
        <v>0.28334929455000002</v>
      </c>
      <c r="KR52" s="90">
        <f t="shared" si="560"/>
        <v>263.826528155505</v>
      </c>
      <c r="KS52" s="90">
        <v>0.28334929455000002</v>
      </c>
      <c r="KT52" s="90">
        <f t="shared" si="592"/>
        <v>263.826528155505</v>
      </c>
      <c r="KU52" s="90">
        <f t="shared" si="593"/>
        <v>263.826528155505</v>
      </c>
      <c r="KV52" s="90">
        <f t="shared" si="594"/>
        <v>263.83</v>
      </c>
      <c r="KW52" s="90">
        <f t="shared" si="612"/>
        <v>277.88683751513611</v>
      </c>
      <c r="KX52" s="90">
        <f t="shared" si="166"/>
        <v>278.33999999999997</v>
      </c>
      <c r="KY52" s="90">
        <f t="shared" si="167"/>
        <v>299.80460177808931</v>
      </c>
      <c r="KZ52" s="90">
        <f t="shared" si="168"/>
        <v>299.80460177808931</v>
      </c>
      <c r="LA52" s="90">
        <f t="shared" si="169"/>
        <v>4301.6800000000012</v>
      </c>
      <c r="LB52" s="90">
        <f t="shared" si="170"/>
        <v>4.62</v>
      </c>
      <c r="LC52" s="92">
        <f t="shared" si="171"/>
        <v>51620.160000000018</v>
      </c>
      <c r="LD52" s="92">
        <v>4.97</v>
      </c>
      <c r="LE52" s="92">
        <v>4627.5699999999988</v>
      </c>
      <c r="LF52" s="90">
        <f t="shared" si="172"/>
        <v>4.9800000000000004</v>
      </c>
      <c r="LG52" s="90">
        <f t="shared" si="173"/>
        <v>4636.88</v>
      </c>
      <c r="LH52" s="90">
        <f t="shared" si="174"/>
        <v>4624.3060000000014</v>
      </c>
      <c r="LI52" s="90">
        <f t="shared" si="175"/>
        <v>4.97</v>
      </c>
      <c r="LJ52" s="90">
        <f t="shared" si="176"/>
        <v>4636.88</v>
      </c>
      <c r="LK52" s="90">
        <f t="shared" si="177"/>
        <v>4.9800000000000004</v>
      </c>
      <c r="LL52" s="90">
        <f t="shared" si="178"/>
        <v>4636.88</v>
      </c>
      <c r="LM52" s="90">
        <f t="shared" si="179"/>
        <v>4.9800000000000004</v>
      </c>
      <c r="LN52" s="95">
        <v>0.46</v>
      </c>
      <c r="LO52" s="95">
        <f t="shared" si="180"/>
        <v>428.31</v>
      </c>
      <c r="LP52" s="95"/>
      <c r="LQ52" s="95">
        <f t="shared" si="181"/>
        <v>0</v>
      </c>
      <c r="LR52" s="90"/>
      <c r="LS52" s="90"/>
      <c r="LT52" s="90">
        <f t="shared" si="182"/>
        <v>0</v>
      </c>
      <c r="LU52" s="90"/>
      <c r="LV52" s="90">
        <f t="shared" si="183"/>
        <v>0</v>
      </c>
      <c r="LW52" s="90">
        <f t="shared" si="184"/>
        <v>0</v>
      </c>
      <c r="LX52" s="90"/>
      <c r="LY52" s="90"/>
      <c r="LZ52" s="90">
        <f t="shared" si="185"/>
        <v>0</v>
      </c>
      <c r="MA52" s="90"/>
      <c r="MB52" s="90">
        <f t="shared" si="186"/>
        <v>0</v>
      </c>
      <c r="MC52" s="90">
        <f t="shared" si="187"/>
        <v>0</v>
      </c>
      <c r="MD52" s="90"/>
      <c r="ME52" s="90"/>
      <c r="MF52" s="90">
        <f t="shared" si="188"/>
        <v>0</v>
      </c>
      <c r="MG52" s="90"/>
      <c r="MH52" s="90">
        <f t="shared" si="189"/>
        <v>0</v>
      </c>
      <c r="MI52" s="90">
        <f t="shared" si="190"/>
        <v>0</v>
      </c>
      <c r="MJ52" s="90"/>
      <c r="MK52" s="90"/>
      <c r="ML52" s="90">
        <f t="shared" si="191"/>
        <v>0</v>
      </c>
      <c r="MM52" s="90"/>
      <c r="MN52" s="90">
        <f t="shared" si="192"/>
        <v>0</v>
      </c>
      <c r="MO52" s="90">
        <f t="shared" si="193"/>
        <v>0</v>
      </c>
      <c r="MP52" s="90">
        <f t="shared" si="194"/>
        <v>0</v>
      </c>
      <c r="MQ52" s="90">
        <f t="shared" si="195"/>
        <v>0</v>
      </c>
      <c r="MR52" s="90">
        <f t="shared" si="196"/>
        <v>0</v>
      </c>
      <c r="MS52" s="90">
        <f t="shared" si="197"/>
        <v>0</v>
      </c>
      <c r="MT52" s="95"/>
      <c r="MU52" s="95">
        <f t="shared" si="198"/>
        <v>0</v>
      </c>
      <c r="MV52" s="92">
        <f t="shared" si="199"/>
        <v>0</v>
      </c>
      <c r="MW52" s="95"/>
      <c r="MX52" s="95">
        <f t="shared" si="200"/>
        <v>0</v>
      </c>
      <c r="MY52" s="95"/>
      <c r="MZ52" s="95">
        <f t="shared" si="201"/>
        <v>0</v>
      </c>
      <c r="NA52" s="95"/>
      <c r="NB52" s="95">
        <f t="shared" si="202"/>
        <v>0</v>
      </c>
      <c r="NC52" s="92">
        <f t="shared" si="203"/>
        <v>0</v>
      </c>
      <c r="ND52" s="95"/>
      <c r="NE52" s="95">
        <f t="shared" si="204"/>
        <v>0</v>
      </c>
      <c r="NF52" s="95"/>
      <c r="NG52" s="95">
        <f t="shared" si="205"/>
        <v>0</v>
      </c>
      <c r="NH52" s="95"/>
      <c r="NI52" s="95"/>
      <c r="NJ52" s="95">
        <f t="shared" si="206"/>
        <v>0</v>
      </c>
      <c r="NK52" s="92">
        <f t="shared" si="207"/>
        <v>0</v>
      </c>
      <c r="NL52" s="95"/>
      <c r="NM52" s="95">
        <f t="shared" si="208"/>
        <v>0</v>
      </c>
      <c r="NN52" s="95"/>
      <c r="NO52" s="95">
        <f t="shared" si="209"/>
        <v>0</v>
      </c>
      <c r="NP52" s="95"/>
      <c r="NQ52" s="95">
        <f t="shared" si="210"/>
        <v>0</v>
      </c>
      <c r="NR52" s="92">
        <f t="shared" si="211"/>
        <v>0</v>
      </c>
      <c r="NS52" s="95"/>
      <c r="NT52" s="95">
        <f t="shared" si="212"/>
        <v>0</v>
      </c>
      <c r="NU52" s="95"/>
      <c r="NV52" s="95">
        <f t="shared" si="213"/>
        <v>0</v>
      </c>
      <c r="NW52" s="95">
        <v>0.8</v>
      </c>
      <c r="NX52" s="95">
        <f t="shared" si="214"/>
        <v>744.88</v>
      </c>
      <c r="NY52" s="92">
        <f t="shared" si="215"/>
        <v>8938.56</v>
      </c>
      <c r="NZ52" s="95">
        <v>0.8</v>
      </c>
      <c r="OA52" s="95">
        <f t="shared" si="216"/>
        <v>744.88</v>
      </c>
      <c r="OB52" s="95">
        <v>0.78</v>
      </c>
      <c r="OC52" s="95">
        <f t="shared" si="217"/>
        <v>726.26</v>
      </c>
      <c r="OD52" s="90">
        <v>7271.89</v>
      </c>
      <c r="OE52" s="90">
        <f t="shared" si="218"/>
        <v>7.81</v>
      </c>
      <c r="OF52" s="92">
        <f t="shared" si="219"/>
        <v>87262.680000000008</v>
      </c>
      <c r="OG52" s="96">
        <v>1057.73</v>
      </c>
      <c r="OH52" s="96">
        <v>1.1399999999999999</v>
      </c>
      <c r="OI52" s="90">
        <v>8333.35</v>
      </c>
      <c r="OJ52" s="90">
        <f t="shared" si="220"/>
        <v>8.9499999999999993</v>
      </c>
      <c r="OK52" s="90">
        <f t="shared" si="221"/>
        <v>8329.6200000000008</v>
      </c>
      <c r="OL52" s="90">
        <f t="shared" si="222"/>
        <v>8.9499999999999993</v>
      </c>
      <c r="OM52" s="90">
        <f t="shared" si="223"/>
        <v>0</v>
      </c>
      <c r="ON52" s="90">
        <v>7271.89</v>
      </c>
      <c r="OO52" s="90">
        <f t="shared" si="224"/>
        <v>7.81</v>
      </c>
      <c r="OP52" s="90">
        <v>7275.6200000000008</v>
      </c>
      <c r="OQ52" s="90">
        <v>7.81</v>
      </c>
      <c r="OR52" s="90">
        <f t="shared" si="225"/>
        <v>0</v>
      </c>
      <c r="OS52" s="90">
        <f t="shared" si="226"/>
        <v>7.81</v>
      </c>
      <c r="OT52" s="90">
        <v>7271.89</v>
      </c>
      <c r="OU52" s="90">
        <f t="shared" si="227"/>
        <v>7.81</v>
      </c>
      <c r="OV52" s="97">
        <v>6340.79</v>
      </c>
      <c r="OW52" s="90">
        <f>ROUND((I52*OY52),2)</f>
        <v>6340.79</v>
      </c>
      <c r="OX52" s="90">
        <f t="shared" si="229"/>
        <v>6.81</v>
      </c>
      <c r="OY52" s="90">
        <f>OU52-1+0.8+1.1-1.9</f>
        <v>6.8099999999999987</v>
      </c>
      <c r="OZ52" s="90"/>
      <c r="PA52" s="90"/>
      <c r="PB52" s="95">
        <f t="shared" si="230"/>
        <v>0</v>
      </c>
      <c r="PC52" s="92">
        <f t="shared" si="231"/>
        <v>0</v>
      </c>
      <c r="PD52" s="90"/>
      <c r="PE52" s="95">
        <f t="shared" si="232"/>
        <v>0</v>
      </c>
      <c r="PF52" s="90">
        <f t="shared" si="233"/>
        <v>17731.43</v>
      </c>
      <c r="PG52" s="90">
        <f t="shared" si="234"/>
        <v>19.04</v>
      </c>
      <c r="PH52" s="90">
        <f t="shared" si="235"/>
        <v>19653.79</v>
      </c>
      <c r="PI52" s="90">
        <f t="shared" si="236"/>
        <v>21.11</v>
      </c>
      <c r="PJ52" s="90">
        <f t="shared" si="237"/>
        <v>19653.79</v>
      </c>
      <c r="PK52" s="90">
        <f t="shared" si="238"/>
        <v>21.11</v>
      </c>
      <c r="PL52" s="90"/>
      <c r="PM52" s="90">
        <f t="shared" si="239"/>
        <v>531.94000000000005</v>
      </c>
      <c r="PN52" s="90">
        <f t="shared" si="240"/>
        <v>0.56999999999999995</v>
      </c>
      <c r="PO52" s="92">
        <f t="shared" si="241"/>
        <v>6383.2800000000007</v>
      </c>
      <c r="PP52" s="90">
        <f t="shared" si="242"/>
        <v>589.61</v>
      </c>
      <c r="PQ52" s="90">
        <f t="shared" si="243"/>
        <v>0.63</v>
      </c>
      <c r="PR52" s="90">
        <f t="shared" si="244"/>
        <v>589.61</v>
      </c>
      <c r="PS52" s="90">
        <f t="shared" si="245"/>
        <v>0.63</v>
      </c>
      <c r="PT52" s="90">
        <f t="shared" si="246"/>
        <v>18263.37</v>
      </c>
      <c r="PU52" s="90">
        <f t="shared" si="247"/>
        <v>19.61</v>
      </c>
      <c r="PV52" s="90">
        <f t="shared" si="248"/>
        <v>20243.400000000001</v>
      </c>
      <c r="PW52" s="90">
        <f t="shared" si="249"/>
        <v>21.74</v>
      </c>
      <c r="PX52" s="90">
        <f t="shared" si="250"/>
        <v>20243.400000000001</v>
      </c>
      <c r="PY52" s="90">
        <f t="shared" si="251"/>
        <v>21.74</v>
      </c>
      <c r="PZ52" s="90">
        <f t="shared" si="252"/>
        <v>184.48</v>
      </c>
      <c r="QA52" s="90">
        <f t="shared" si="253"/>
        <v>0.2</v>
      </c>
      <c r="QB52" s="92">
        <f t="shared" si="254"/>
        <v>2213.7599999999998</v>
      </c>
      <c r="QC52" s="90">
        <f t="shared" si="255"/>
        <v>204.48</v>
      </c>
      <c r="QD52" s="90">
        <f t="shared" si="256"/>
        <v>0.22</v>
      </c>
      <c r="QE52" s="90">
        <f t="shared" si="257"/>
        <v>204.48</v>
      </c>
      <c r="QF52" s="90">
        <f t="shared" si="258"/>
        <v>0.22</v>
      </c>
      <c r="QG52" s="90">
        <f t="shared" si="259"/>
        <v>18447.849999999999</v>
      </c>
      <c r="QH52" s="90">
        <f t="shared" si="260"/>
        <v>19.809999999999999</v>
      </c>
      <c r="QI52" s="92">
        <f t="shared" si="261"/>
        <v>221374.19999999998</v>
      </c>
      <c r="QJ52" s="90">
        <f t="shared" si="262"/>
        <v>297.69683751513611</v>
      </c>
      <c r="QK52" s="98">
        <f t="shared" si="263"/>
        <v>0.26789999999999997</v>
      </c>
      <c r="QL52" s="90">
        <f t="shared" si="264"/>
        <v>249.44168999999997</v>
      </c>
      <c r="QM52" s="90">
        <f t="shared" si="265"/>
        <v>0.17860000000000001</v>
      </c>
      <c r="QN52" s="90">
        <f t="shared" si="266"/>
        <v>166.29446000000002</v>
      </c>
      <c r="QO52" s="90">
        <v>0.26789999999999997</v>
      </c>
      <c r="QP52" s="90">
        <v>0.17860000000000001</v>
      </c>
      <c r="QQ52" s="97">
        <f t="shared" si="267"/>
        <v>415.73614999999995</v>
      </c>
      <c r="QR52" s="97">
        <v>415.73614999999995</v>
      </c>
      <c r="QS52" s="97">
        <f t="shared" si="268"/>
        <v>0</v>
      </c>
      <c r="QT52" s="90"/>
      <c r="QU52" s="90">
        <f t="shared" si="269"/>
        <v>0.17860000000000001</v>
      </c>
      <c r="QV52" s="90">
        <f t="shared" si="270"/>
        <v>166.29446000000002</v>
      </c>
      <c r="QW52" s="90">
        <f t="shared" si="271"/>
        <v>415.73614999999995</v>
      </c>
      <c r="QX52" s="90">
        <f t="shared" si="272"/>
        <v>0.44649999999999995</v>
      </c>
      <c r="QY52" s="90"/>
      <c r="QZ52" s="90"/>
      <c r="RA52" s="90"/>
      <c r="RB52" s="90">
        <v>4078.5399999999995</v>
      </c>
      <c r="RC52" s="97">
        <f t="shared" si="273"/>
        <v>18447.849999999999</v>
      </c>
      <c r="RD52" s="97">
        <f t="shared" si="274"/>
        <v>19.809999999999999</v>
      </c>
      <c r="RE52" s="90">
        <f t="shared" si="275"/>
        <v>20447.88</v>
      </c>
      <c r="RF52" s="90">
        <f t="shared" si="276"/>
        <v>21.96</v>
      </c>
      <c r="RG52" s="90">
        <f t="shared" si="277"/>
        <v>110.79717457114029</v>
      </c>
      <c r="RH52" s="90">
        <f t="shared" si="278"/>
        <v>20447.88</v>
      </c>
      <c r="RI52" s="90">
        <f t="shared" si="279"/>
        <v>21.96</v>
      </c>
      <c r="RJ52" s="90">
        <v>21.69</v>
      </c>
      <c r="RK52" s="90">
        <v>0</v>
      </c>
      <c r="RL52" s="90">
        <f t="shared" si="280"/>
        <v>0.26999999999999957</v>
      </c>
      <c r="RM52" s="90">
        <f t="shared" si="281"/>
        <v>105.27325023969321</v>
      </c>
      <c r="RN52" s="90">
        <f t="shared" si="282"/>
        <v>10386.120000000003</v>
      </c>
      <c r="RO52" s="90"/>
      <c r="RP52" s="90"/>
      <c r="RQ52" s="99">
        <v>3353</v>
      </c>
      <c r="RR52" s="90">
        <f t="shared" si="283"/>
        <v>11175.96</v>
      </c>
      <c r="RS52" s="90">
        <f t="shared" si="284"/>
        <v>12.002964235850069</v>
      </c>
      <c r="RT52" s="20">
        <f>14.56+3.3</f>
        <v>17.86</v>
      </c>
      <c r="RU52" s="90">
        <f t="shared" si="285"/>
        <v>16629.446</v>
      </c>
      <c r="RV52" s="90">
        <f t="shared" si="286"/>
        <v>0.31972595587491792</v>
      </c>
      <c r="RW52" s="20">
        <v>13.49</v>
      </c>
      <c r="RX52" s="90">
        <f t="shared" si="287"/>
        <v>14.1645</v>
      </c>
      <c r="RY52" s="90">
        <f t="shared" si="288"/>
        <v>13188.56595</v>
      </c>
      <c r="RZ52" s="90">
        <f t="shared" si="289"/>
        <v>4078.618358931079</v>
      </c>
      <c r="SA52" s="90">
        <f t="shared" si="290"/>
        <v>1214.9480657386907</v>
      </c>
      <c r="SB52" s="90">
        <f t="shared" si="291"/>
        <v>1214.9485940262089</v>
      </c>
      <c r="SC52" s="90">
        <f t="shared" si="292"/>
        <v>4078.618358931079</v>
      </c>
      <c r="SD52" s="90">
        <f t="shared" si="293"/>
        <v>4078.6188872185967</v>
      </c>
      <c r="SE52" s="90">
        <f t="shared" si="294"/>
        <v>4078.6091896896633</v>
      </c>
      <c r="SF52" s="90">
        <f t="shared" si="295"/>
        <v>4064.9408609470338</v>
      </c>
      <c r="SG52" s="90">
        <f t="shared" si="296"/>
        <v>13.677497984045203</v>
      </c>
      <c r="SH52" s="90">
        <f t="shared" si="297"/>
        <v>4078.618358931079</v>
      </c>
      <c r="SI52" s="90">
        <f t="shared" si="298"/>
        <v>4.3804305522699991</v>
      </c>
      <c r="SJ52" s="100">
        <f t="shared" si="299"/>
        <v>4.3657403726205928</v>
      </c>
      <c r="SK52" s="100"/>
      <c r="SL52" s="100"/>
      <c r="SM52" s="90"/>
      <c r="SN52" s="90">
        <f t="shared" si="300"/>
        <v>4130</v>
      </c>
      <c r="SO52" s="90" t="e">
        <f>RU52-#REF!-#REF!-HZ52-LT52-LZ52-MF52-ML52-QL52-QN52-SD52</f>
        <v>#REF!</v>
      </c>
      <c r="SP52" s="90">
        <f t="shared" si="301"/>
        <v>4078.5399999999995</v>
      </c>
      <c r="SQ52" s="90">
        <f t="shared" si="302"/>
        <v>4301.6800000000012</v>
      </c>
      <c r="SR52" s="90">
        <f t="shared" si="303"/>
        <v>4.3803458275158409</v>
      </c>
      <c r="SS52" s="90">
        <f t="shared" si="304"/>
        <v>4.6199978520030083</v>
      </c>
      <c r="ST52" s="90">
        <f t="shared" si="305"/>
        <v>4307.0770000000002</v>
      </c>
      <c r="SU52" s="90">
        <v>4.3803458275158409</v>
      </c>
      <c r="SV52" s="90">
        <f t="shared" si="306"/>
        <v>4.63</v>
      </c>
      <c r="SW52" s="90">
        <v>4.62</v>
      </c>
      <c r="SX52" s="90">
        <f t="shared" si="307"/>
        <v>4301.68</v>
      </c>
      <c r="SY52" s="90">
        <v>4.3804317473955532</v>
      </c>
      <c r="SZ52" s="90">
        <f t="shared" si="308"/>
        <v>4078.62</v>
      </c>
      <c r="TA52" s="90">
        <f t="shared" si="309"/>
        <v>8.0000000000381988E-2</v>
      </c>
      <c r="TB52" s="90">
        <v>0</v>
      </c>
      <c r="TC52" s="90">
        <f t="shared" si="310"/>
        <v>7220.1218500000032</v>
      </c>
      <c r="TD52" s="90" t="e">
        <f>#REF!+#REF!</f>
        <v>#REF!</v>
      </c>
      <c r="TE52" s="90" t="e">
        <f t="shared" si="311"/>
        <v>#REF!</v>
      </c>
      <c r="TF52" s="90">
        <v>7272.6318500000016</v>
      </c>
      <c r="TG52" s="90">
        <f t="shared" si="312"/>
        <v>43.417693229227261</v>
      </c>
      <c r="TH52" s="95"/>
      <c r="TI52" s="95"/>
      <c r="TJ52" s="95"/>
      <c r="TK52" s="95"/>
      <c r="TL52" s="95"/>
      <c r="TM52" s="95">
        <f t="shared" si="313"/>
        <v>0</v>
      </c>
      <c r="TN52" s="95">
        <f t="shared" si="314"/>
        <v>16629.446</v>
      </c>
      <c r="TO52" s="95">
        <f t="shared" si="315"/>
        <v>43.417693229227261</v>
      </c>
      <c r="TP52" s="95"/>
      <c r="TQ52" s="95">
        <f t="shared" si="316"/>
        <v>17.86</v>
      </c>
      <c r="TR52" s="95"/>
      <c r="TS52" s="95"/>
      <c r="TT52" s="95"/>
      <c r="TU52" s="95"/>
      <c r="TV52" s="95"/>
      <c r="TW52" s="95"/>
      <c r="TX52" s="95"/>
      <c r="TY52" s="95"/>
      <c r="TZ52" s="95">
        <f t="shared" si="317"/>
        <v>2.5</v>
      </c>
      <c r="UA52" s="95">
        <f t="shared" si="318"/>
        <v>0.78584000000000009</v>
      </c>
      <c r="UB52" s="90">
        <v>0</v>
      </c>
      <c r="UC52" s="90">
        <f t="shared" si="319"/>
        <v>0</v>
      </c>
      <c r="UD52" s="90">
        <f t="shared" si="320"/>
        <v>0</v>
      </c>
      <c r="UE52" s="90">
        <f t="shared" si="321"/>
        <v>0</v>
      </c>
      <c r="UF52" s="90">
        <f t="shared" si="322"/>
        <v>16629.446</v>
      </c>
      <c r="UG52" s="91">
        <f t="shared" si="323"/>
        <v>0</v>
      </c>
      <c r="UH52" s="95">
        <f t="shared" si="324"/>
        <v>43.417693229227261</v>
      </c>
      <c r="UI52" s="95">
        <f t="shared" si="325"/>
        <v>16629.446</v>
      </c>
      <c r="UJ52" s="101">
        <f t="shared" si="326"/>
        <v>0</v>
      </c>
      <c r="UK52" s="101">
        <f t="shared" si="327"/>
        <v>43.417693229227261</v>
      </c>
      <c r="UL52" s="90" t="e">
        <f>(#REF!+#REF!+HZ52+LT52+LZ52+MF52+ML52+QL52+QN52+SN52+TC52+TM52+UC52)/I52</f>
        <v>#REF!</v>
      </c>
      <c r="UN52" s="90" t="e">
        <f>#REF!/I52</f>
        <v>#REF!</v>
      </c>
      <c r="UO52" s="90" t="e">
        <f>#REF!/I52</f>
        <v>#REF!</v>
      </c>
      <c r="UP52" s="90">
        <v>1.1499999999999999</v>
      </c>
      <c r="UQ52" s="90" t="e">
        <f t="shared" si="328"/>
        <v>#REF!</v>
      </c>
      <c r="UR52" s="90">
        <f t="shared" si="329"/>
        <v>11175.96</v>
      </c>
      <c r="US52" s="90">
        <f t="shared" si="330"/>
        <v>13391.88</v>
      </c>
      <c r="UT52" s="90">
        <f t="shared" si="331"/>
        <v>13391.88</v>
      </c>
      <c r="UU52" s="90">
        <f t="shared" si="516"/>
        <v>13820.189999999999</v>
      </c>
      <c r="UV52" s="90">
        <f t="shared" si="333"/>
        <v>13678.78</v>
      </c>
      <c r="UW52" s="90">
        <f t="shared" si="334"/>
        <v>7.1499999999999995</v>
      </c>
      <c r="UX52" s="90">
        <f t="shared" si="335"/>
        <v>4.62</v>
      </c>
      <c r="UY52" s="90">
        <f t="shared" si="336"/>
        <v>4.4356137901406933</v>
      </c>
      <c r="UZ52" s="100">
        <f t="shared" si="337"/>
        <v>4.3804305522699991</v>
      </c>
      <c r="VA52" s="90">
        <f t="shared" si="338"/>
        <v>0.59</v>
      </c>
      <c r="VB52" s="90">
        <f t="shared" si="339"/>
        <v>1.1399999999999999</v>
      </c>
      <c r="VC52" s="90">
        <f t="shared" si="340"/>
        <v>0.8</v>
      </c>
      <c r="VD52" s="90">
        <f t="shared" si="341"/>
        <v>0</v>
      </c>
      <c r="VE52" s="90">
        <f t="shared" si="342"/>
        <v>0</v>
      </c>
      <c r="VF52" s="90">
        <f t="shared" si="343"/>
        <v>0</v>
      </c>
      <c r="VG52" s="90">
        <f t="shared" si="344"/>
        <v>0</v>
      </c>
      <c r="VH52" s="90">
        <f t="shared" si="345"/>
        <v>0</v>
      </c>
      <c r="VI52" s="90">
        <f t="shared" si="346"/>
        <v>0</v>
      </c>
      <c r="VJ52" s="90">
        <f t="shared" si="347"/>
        <v>0</v>
      </c>
      <c r="VK52" s="90">
        <f t="shared" si="348"/>
        <v>1.05</v>
      </c>
      <c r="VL52" s="90">
        <f t="shared" si="349"/>
        <v>4.09</v>
      </c>
      <c r="VM52" s="90">
        <f t="shared" si="350"/>
        <v>7.81</v>
      </c>
      <c r="VN52" s="90">
        <f t="shared" si="351"/>
        <v>0</v>
      </c>
      <c r="VO52" s="90">
        <f t="shared" si="352"/>
        <v>7.81</v>
      </c>
      <c r="VP52" s="97">
        <v>0</v>
      </c>
      <c r="VQ52" s="97">
        <v>7.81</v>
      </c>
      <c r="VR52" s="90">
        <f t="shared" si="353"/>
        <v>0.56999999999999995</v>
      </c>
      <c r="VS52" s="90">
        <f t="shared" si="354"/>
        <v>0.2</v>
      </c>
      <c r="VT52" s="90">
        <v>0.11989898989898991</v>
      </c>
      <c r="VU52" s="90">
        <f t="shared" si="355"/>
        <v>0.19819999999999996</v>
      </c>
      <c r="VV52" s="90">
        <v>0.38175323599898991</v>
      </c>
      <c r="VW52" s="90">
        <f t="shared" si="356"/>
        <v>0.77</v>
      </c>
      <c r="VX52" s="90">
        <f t="shared" si="357"/>
        <v>19.819999999999997</v>
      </c>
      <c r="VY52" s="90">
        <f t="shared" si="358"/>
        <v>19.819999999999997</v>
      </c>
      <c r="VZ52" s="90">
        <f t="shared" si="359"/>
        <v>0</v>
      </c>
      <c r="WA52" s="90"/>
      <c r="WB52" s="90">
        <f t="shared" si="360"/>
        <v>19.819999999999997</v>
      </c>
      <c r="WC52" s="90">
        <f t="shared" si="361"/>
        <v>0</v>
      </c>
      <c r="WD52" s="90"/>
      <c r="WE52" s="90">
        <v>18.989999999999998</v>
      </c>
      <c r="WF52" s="90"/>
      <c r="WG52" s="90">
        <f t="shared" si="362"/>
        <v>18454.401999999998</v>
      </c>
      <c r="WH52" s="90">
        <f t="shared" si="363"/>
        <v>17709.522000000001</v>
      </c>
      <c r="WI52" s="90">
        <f t="shared" si="364"/>
        <v>17702.969999999998</v>
      </c>
      <c r="WJ52" s="90">
        <f t="shared" si="365"/>
        <v>11175.96</v>
      </c>
      <c r="WK52" s="97">
        <v>7271.89</v>
      </c>
      <c r="WL52" s="97">
        <v>7.81</v>
      </c>
      <c r="WM52" s="90">
        <f t="shared" si="366"/>
        <v>7271.89</v>
      </c>
      <c r="WN52" s="90">
        <f t="shared" si="367"/>
        <v>7.81</v>
      </c>
      <c r="WO52" s="90"/>
      <c r="WP52" s="97">
        <v>18.989999999999998</v>
      </c>
      <c r="WQ52" s="90">
        <f t="shared" si="368"/>
        <v>19.819999999999997</v>
      </c>
      <c r="WR52" s="91">
        <f t="shared" si="369"/>
        <v>110.97424412094064</v>
      </c>
      <c r="WS52" s="91">
        <f t="shared" si="370"/>
        <v>136.12637362637361</v>
      </c>
      <c r="WT52" s="90">
        <f t="shared" si="371"/>
        <v>17681.59</v>
      </c>
      <c r="WU52" s="90">
        <f t="shared" si="372"/>
        <v>18447.849999999999</v>
      </c>
      <c r="WV52" s="90">
        <f t="shared" si="373"/>
        <v>-766.2599999999984</v>
      </c>
      <c r="WW52" s="90">
        <v>3.3</v>
      </c>
      <c r="WX52" s="90"/>
      <c r="WY52" s="90"/>
      <c r="WZ52" s="90">
        <f t="shared" si="374"/>
        <v>6.8828929292929262</v>
      </c>
      <c r="XA52" s="90">
        <v>0</v>
      </c>
      <c r="XB52" s="90">
        <f t="shared" si="375"/>
        <v>6.8828929292929262</v>
      </c>
      <c r="XC52" s="90">
        <f t="shared" si="376"/>
        <v>0.5663999999999999</v>
      </c>
      <c r="XD52" s="90">
        <f t="shared" si="377"/>
        <v>0.19070707070707069</v>
      </c>
      <c r="XE52" s="90"/>
      <c r="XF52" s="90">
        <f t="shared" si="378"/>
        <v>18.88</v>
      </c>
      <c r="XG52" s="90">
        <v>7.8107956717860612</v>
      </c>
      <c r="XH52" s="20">
        <v>17.86</v>
      </c>
      <c r="XI52" s="20">
        <v>0</v>
      </c>
      <c r="XJ52" s="20"/>
      <c r="XK52" s="20"/>
      <c r="XL52" s="20"/>
      <c r="XM52" s="20">
        <f t="shared" si="379"/>
        <v>17.86</v>
      </c>
      <c r="XN52" s="91">
        <f t="shared" si="380"/>
        <v>110.97424412094064</v>
      </c>
      <c r="XO52" s="20">
        <f t="shared" si="381"/>
        <v>17.86</v>
      </c>
      <c r="XP52" s="90">
        <f t="shared" si="382"/>
        <v>14.559999999999999</v>
      </c>
      <c r="XQ52" s="91">
        <f t="shared" si="383"/>
        <v>110.97424412094064</v>
      </c>
      <c r="XR52" s="102"/>
      <c r="XS52" s="90">
        <f t="shared" si="384"/>
        <v>4.09</v>
      </c>
      <c r="XT52" s="90">
        <f t="shared" si="385"/>
        <v>7.1499999999999995</v>
      </c>
      <c r="XU52" s="90">
        <f t="shared" si="386"/>
        <v>4.62</v>
      </c>
      <c r="XV52" s="90">
        <f t="shared" si="387"/>
        <v>1.3900000000000001</v>
      </c>
      <c r="XW52" s="90">
        <f t="shared" si="388"/>
        <v>0.59</v>
      </c>
      <c r="XX52" s="90">
        <f t="shared" si="389"/>
        <v>0.8</v>
      </c>
      <c r="XY52" s="90">
        <f t="shared" si="390"/>
        <v>1.1399999999999999</v>
      </c>
      <c r="XZ52" s="90">
        <f t="shared" si="391"/>
        <v>0</v>
      </c>
      <c r="YA52" s="90">
        <f t="shared" si="392"/>
        <v>0</v>
      </c>
      <c r="YB52" s="90">
        <f t="shared" si="552"/>
        <v>0</v>
      </c>
      <c r="YC52" s="90">
        <f t="shared" si="552"/>
        <v>0</v>
      </c>
      <c r="YD52" s="90">
        <f t="shared" si="394"/>
        <v>1.1399999999999999</v>
      </c>
      <c r="YE52" s="90">
        <f t="shared" si="395"/>
        <v>7.81</v>
      </c>
      <c r="YF52" s="90">
        <f t="shared" si="396"/>
        <v>0.77</v>
      </c>
      <c r="YG52" s="90">
        <f t="shared" si="397"/>
        <v>19.819999999999997</v>
      </c>
      <c r="YI52" s="103" t="s">
        <v>475</v>
      </c>
      <c r="YK52" s="90">
        <f t="shared" si="398"/>
        <v>1.07</v>
      </c>
      <c r="YL52" s="90">
        <f t="shared" si="553"/>
        <v>0.59</v>
      </c>
      <c r="YM52" s="90">
        <f t="shared" si="553"/>
        <v>1.1399999999999999</v>
      </c>
      <c r="YN52" s="90">
        <f t="shared" si="400"/>
        <v>4.09</v>
      </c>
      <c r="YO52" s="90">
        <f t="shared" si="401"/>
        <v>12.93</v>
      </c>
      <c r="YP52" s="90">
        <f t="shared" si="402"/>
        <v>0</v>
      </c>
      <c r="YQ52" s="90">
        <f t="shared" si="403"/>
        <v>19.819999999999997</v>
      </c>
      <c r="YR52" s="90">
        <f t="shared" si="404"/>
        <v>0</v>
      </c>
      <c r="YS52" s="104">
        <f t="shared" si="405"/>
        <v>19.82</v>
      </c>
      <c r="YT52" s="104">
        <f t="shared" si="406"/>
        <v>0</v>
      </c>
      <c r="YY52" s="90">
        <f t="shared" si="407"/>
        <v>8.9200000000000017</v>
      </c>
      <c r="YZ52" s="90">
        <f t="shared" si="408"/>
        <v>4.9800000000000004</v>
      </c>
      <c r="ZA52" s="90">
        <f t="shared" si="409"/>
        <v>0.62</v>
      </c>
      <c r="ZB52" s="90">
        <f t="shared" si="410"/>
        <v>2.52</v>
      </c>
      <c r="ZC52" s="90">
        <f t="shared" si="411"/>
        <v>0.8</v>
      </c>
      <c r="ZD52" s="90">
        <f t="shared" si="412"/>
        <v>0</v>
      </c>
      <c r="ZE52" s="90">
        <f t="shared" si="413"/>
        <v>0</v>
      </c>
      <c r="ZF52" s="90">
        <f t="shared" si="414"/>
        <v>0</v>
      </c>
      <c r="ZG52" s="90">
        <f t="shared" si="415"/>
        <v>0</v>
      </c>
      <c r="ZH52" s="90">
        <f t="shared" si="416"/>
        <v>0</v>
      </c>
      <c r="ZI52" s="90">
        <f t="shared" si="417"/>
        <v>0</v>
      </c>
      <c r="ZJ52" s="90">
        <f t="shared" si="418"/>
        <v>0</v>
      </c>
      <c r="ZK52" s="90">
        <f t="shared" si="419"/>
        <v>0</v>
      </c>
      <c r="ZL52" s="90">
        <f t="shared" si="420"/>
        <v>0</v>
      </c>
      <c r="ZM52" s="90">
        <f t="shared" si="421"/>
        <v>4.6100000000000003</v>
      </c>
      <c r="ZN52" s="90">
        <f t="shared" si="422"/>
        <v>9.33</v>
      </c>
      <c r="ZO52" s="90">
        <f t="shared" si="423"/>
        <v>8.9499999999999993</v>
      </c>
      <c r="ZP52" s="90">
        <f t="shared" si="424"/>
        <v>6.81</v>
      </c>
      <c r="ZQ52" s="90">
        <f t="shared" si="425"/>
        <v>0</v>
      </c>
      <c r="ZR52" s="90">
        <f t="shared" si="426"/>
        <v>6.81</v>
      </c>
      <c r="ZS52" s="97">
        <v>227</v>
      </c>
      <c r="ZT52" s="97">
        <v>230.38</v>
      </c>
      <c r="ZU52" s="90">
        <f t="shared" si="427"/>
        <v>0.63</v>
      </c>
      <c r="ZV52" s="90">
        <f t="shared" si="428"/>
        <v>0.22</v>
      </c>
      <c r="ZW52" s="90">
        <v>0.11989898989898991</v>
      </c>
      <c r="ZX52" s="90">
        <f t="shared" si="429"/>
        <v>0.21190000000000001</v>
      </c>
      <c r="ZY52" s="90">
        <v>0.38175323599898991</v>
      </c>
      <c r="ZZ52" s="90">
        <f t="shared" si="430"/>
        <v>0.85</v>
      </c>
      <c r="AAA52" s="90">
        <f t="shared" si="431"/>
        <v>21.19</v>
      </c>
      <c r="AAB52" s="90">
        <f t="shared" si="432"/>
        <v>21.19</v>
      </c>
      <c r="AAC52" s="90">
        <f t="shared" si="433"/>
        <v>0</v>
      </c>
      <c r="AAD52" s="90"/>
      <c r="AAE52" s="90">
        <f t="shared" si="434"/>
        <v>21.19</v>
      </c>
      <c r="AAF52" s="90">
        <v>19.819999999999997</v>
      </c>
      <c r="AAG52" s="90">
        <f t="shared" si="435"/>
        <v>106.91220988900103</v>
      </c>
      <c r="AAH52" s="90">
        <f t="shared" si="436"/>
        <v>0</v>
      </c>
      <c r="AAI52" s="90">
        <v>0</v>
      </c>
      <c r="AAJ52" s="90"/>
      <c r="AAK52" s="1">
        <v>20.86</v>
      </c>
      <c r="AAL52" s="104">
        <f t="shared" si="437"/>
        <v>0.33000000000000185</v>
      </c>
      <c r="AAM52" s="103" t="s">
        <v>440</v>
      </c>
      <c r="AAN52" s="105">
        <v>8.8500000000000014</v>
      </c>
      <c r="AAO52" s="90">
        <f t="shared" si="438"/>
        <v>9.6900000000000013</v>
      </c>
      <c r="AAP52" s="90">
        <v>4.97</v>
      </c>
      <c r="AAQ52" s="90">
        <f t="shared" si="439"/>
        <v>4.9800000000000004</v>
      </c>
      <c r="AAR52" s="90">
        <v>0.62</v>
      </c>
      <c r="AAS52" s="90">
        <f t="shared" si="440"/>
        <v>0.93</v>
      </c>
      <c r="AAT52" s="90">
        <f t="shared" si="441"/>
        <v>150</v>
      </c>
      <c r="AAU52" s="90">
        <v>2.46</v>
      </c>
      <c r="AAV52" s="90">
        <f t="shared" si="442"/>
        <v>2.52</v>
      </c>
      <c r="AAW52" s="90">
        <f t="shared" si="443"/>
        <v>102.4390243902439</v>
      </c>
      <c r="AAX52" s="90">
        <f t="shared" si="444"/>
        <v>0.46</v>
      </c>
      <c r="AAY52" s="90">
        <f t="shared" si="445"/>
        <v>0.8</v>
      </c>
      <c r="AAZ52" s="90">
        <f t="shared" si="446"/>
        <v>0</v>
      </c>
      <c r="ABA52" s="90">
        <f t="shared" si="447"/>
        <v>0</v>
      </c>
      <c r="ABB52" s="90">
        <f t="shared" si="448"/>
        <v>0</v>
      </c>
      <c r="ABC52" s="90">
        <v>0</v>
      </c>
      <c r="ABD52" s="90">
        <f t="shared" si="449"/>
        <v>0</v>
      </c>
      <c r="ABE52" s="90"/>
      <c r="ABF52" s="90">
        <v>0</v>
      </c>
      <c r="ABG52" s="90">
        <f t="shared" si="450"/>
        <v>0</v>
      </c>
      <c r="ABH52" s="90"/>
      <c r="ABI52" s="90">
        <f t="shared" si="451"/>
        <v>0</v>
      </c>
      <c r="ABJ52" s="90">
        <f t="shared" si="452"/>
        <v>0</v>
      </c>
      <c r="ABK52" s="90">
        <v>0</v>
      </c>
      <c r="ABL52" s="90">
        <f t="shared" si="453"/>
        <v>0</v>
      </c>
      <c r="ABM52" s="90">
        <f t="shared" si="454"/>
        <v>0</v>
      </c>
      <c r="ABN52" s="90">
        <f t="shared" si="455"/>
        <v>0</v>
      </c>
      <c r="ABO52" s="90">
        <v>4.3899999999999997</v>
      </c>
      <c r="ABP52" s="90">
        <f t="shared" si="456"/>
        <v>4.6100000000000003</v>
      </c>
      <c r="ABQ52" s="90">
        <f t="shared" si="457"/>
        <v>105.01138952164011</v>
      </c>
      <c r="ABR52" s="90">
        <f t="shared" si="458"/>
        <v>9.33</v>
      </c>
      <c r="ABS52" s="90">
        <f t="shared" si="459"/>
        <v>8.9499999999999993</v>
      </c>
      <c r="ABT52" s="90">
        <v>6.81</v>
      </c>
      <c r="ABU52" s="90">
        <f t="shared" si="460"/>
        <v>6.81</v>
      </c>
      <c r="ABV52" s="90">
        <f t="shared" si="461"/>
        <v>100</v>
      </c>
      <c r="ABW52" s="90">
        <f t="shared" si="462"/>
        <v>0</v>
      </c>
      <c r="ABX52" s="90">
        <f t="shared" si="463"/>
        <v>6.81</v>
      </c>
      <c r="ABY52" s="97">
        <v>227</v>
      </c>
      <c r="ABZ52" s="97">
        <v>230.38</v>
      </c>
      <c r="ACA52" s="90">
        <f t="shared" si="464"/>
        <v>0.63</v>
      </c>
      <c r="ACB52" s="90">
        <f t="shared" si="465"/>
        <v>0.22</v>
      </c>
      <c r="ACC52" s="90">
        <v>0.11989898989898991</v>
      </c>
      <c r="ACD52" s="90">
        <f t="shared" si="466"/>
        <v>0.215</v>
      </c>
      <c r="ACE52" s="90">
        <v>0.38175323599898991</v>
      </c>
      <c r="ACF52" s="90">
        <v>0.80999999999999994</v>
      </c>
      <c r="ACG52" s="90">
        <f t="shared" si="467"/>
        <v>0.85</v>
      </c>
      <c r="ACH52" s="90">
        <f t="shared" si="468"/>
        <v>104.93827160493827</v>
      </c>
      <c r="ACI52" s="90">
        <f t="shared" si="469"/>
        <v>21.96</v>
      </c>
      <c r="ACJ52" s="90">
        <f t="shared" si="470"/>
        <v>21.5</v>
      </c>
      <c r="ACK52" s="90">
        <f t="shared" si="471"/>
        <v>-0.46000000000000085</v>
      </c>
      <c r="ACL52" s="90"/>
      <c r="ACM52" s="90">
        <f t="shared" si="472"/>
        <v>21.96</v>
      </c>
      <c r="ACN52" s="90">
        <f t="shared" si="473"/>
        <v>0</v>
      </c>
      <c r="ACO52" s="90">
        <f t="shared" si="474"/>
        <v>21.96</v>
      </c>
      <c r="ACP52" s="90">
        <v>20.86</v>
      </c>
      <c r="ACQ52" s="90">
        <f t="shared" si="475"/>
        <v>105.27325023969321</v>
      </c>
      <c r="ACR52" s="90">
        <f t="shared" si="476"/>
        <v>0</v>
      </c>
      <c r="ACS52" s="90">
        <v>0</v>
      </c>
      <c r="ACT52" s="90"/>
      <c r="ACU52" s="90">
        <f t="shared" si="477"/>
        <v>21.923859999999998</v>
      </c>
      <c r="ACV52" s="90">
        <f t="shared" si="478"/>
        <v>-3.614000000000317E-2</v>
      </c>
      <c r="ACX52" s="106" t="s">
        <v>553</v>
      </c>
      <c r="ACY52" s="107">
        <f>12500+60000</f>
        <v>72500</v>
      </c>
      <c r="ACZ52" s="107">
        <v>60000</v>
      </c>
      <c r="ADB52" s="90">
        <f t="shared" si="479"/>
        <v>4.6100000000000003</v>
      </c>
      <c r="ADC52" s="90">
        <f t="shared" si="480"/>
        <v>9.6900000000000013</v>
      </c>
      <c r="ADD52" s="90">
        <f t="shared" si="481"/>
        <v>4.9800000000000004</v>
      </c>
      <c r="ADE52" s="90">
        <f t="shared" si="517"/>
        <v>2.1900000000000004</v>
      </c>
      <c r="ADF52" s="90">
        <f t="shared" si="483"/>
        <v>0.93</v>
      </c>
      <c r="ADG52" s="90">
        <f t="shared" si="554"/>
        <v>0.46</v>
      </c>
      <c r="ADH52" s="90">
        <f t="shared" si="554"/>
        <v>0.8</v>
      </c>
      <c r="ADI52" s="90">
        <f t="shared" si="554"/>
        <v>0</v>
      </c>
      <c r="ADJ52" s="90">
        <f t="shared" si="485"/>
        <v>2.52</v>
      </c>
      <c r="ADK52" s="90">
        <f t="shared" si="486"/>
        <v>0</v>
      </c>
      <c r="ADL52" s="90">
        <f t="shared" si="487"/>
        <v>0</v>
      </c>
      <c r="ADM52" s="90">
        <f t="shared" si="555"/>
        <v>0</v>
      </c>
      <c r="ADN52" s="90">
        <f t="shared" si="555"/>
        <v>0</v>
      </c>
      <c r="ADO52" s="90">
        <f t="shared" si="489"/>
        <v>2.52</v>
      </c>
      <c r="ADP52" s="90">
        <f t="shared" si="490"/>
        <v>6.81</v>
      </c>
      <c r="ADQ52" s="90">
        <f t="shared" si="491"/>
        <v>0.85</v>
      </c>
      <c r="ADR52" s="90">
        <f t="shared" si="492"/>
        <v>21.96</v>
      </c>
      <c r="ADU52" s="90">
        <f t="shared" si="493"/>
        <v>1.1499999999999999</v>
      </c>
      <c r="ADV52" s="90">
        <f t="shared" si="494"/>
        <v>0.93</v>
      </c>
      <c r="ADW52" s="90">
        <f t="shared" si="495"/>
        <v>2.52</v>
      </c>
      <c r="ADX52" s="90">
        <f t="shared" si="496"/>
        <v>4.6100000000000003</v>
      </c>
      <c r="ADY52" s="90">
        <f t="shared" si="497"/>
        <v>12.290000000000001</v>
      </c>
      <c r="ADZ52" s="90">
        <f t="shared" si="498"/>
        <v>0</v>
      </c>
      <c r="AEA52" s="90">
        <f t="shared" si="499"/>
        <v>21.96</v>
      </c>
      <c r="AEB52" s="90">
        <f t="shared" si="500"/>
        <v>0</v>
      </c>
      <c r="AEC52" s="104">
        <f t="shared" si="501"/>
        <v>21.5</v>
      </c>
      <c r="AED52" s="104">
        <f t="shared" si="502"/>
        <v>0.46000000000000085</v>
      </c>
      <c r="AEG52" s="1">
        <v>8.8500000000000014</v>
      </c>
      <c r="AEH52" s="1">
        <v>4.97</v>
      </c>
      <c r="AEI52" s="1">
        <v>0.62</v>
      </c>
      <c r="AEJ52" s="1">
        <v>2.46</v>
      </c>
      <c r="AEK52" s="1">
        <v>0</v>
      </c>
      <c r="AEL52" s="1">
        <v>0.8</v>
      </c>
      <c r="AEM52" s="1">
        <v>0</v>
      </c>
      <c r="AEN52" s="1">
        <v>0</v>
      </c>
      <c r="AEO52" s="1">
        <v>0</v>
      </c>
      <c r="AEP52" s="1">
        <v>0</v>
      </c>
      <c r="AEQ52" s="1">
        <v>0</v>
      </c>
      <c r="AER52" s="1">
        <v>0</v>
      </c>
      <c r="AES52" s="1">
        <v>0</v>
      </c>
      <c r="AET52" s="1">
        <v>0</v>
      </c>
      <c r="AEU52" s="1">
        <v>0</v>
      </c>
      <c r="AEV52" s="1">
        <v>0</v>
      </c>
      <c r="AEW52" s="1">
        <v>4.3899999999999997</v>
      </c>
      <c r="AEX52" s="1">
        <v>9.27</v>
      </c>
      <c r="AEY52" s="1">
        <v>8.9499999999999993</v>
      </c>
      <c r="AEZ52" s="1">
        <v>6.81</v>
      </c>
      <c r="AFA52" s="1">
        <v>0</v>
      </c>
      <c r="AFB52" s="1">
        <v>6.81</v>
      </c>
      <c r="AFC52" s="1">
        <v>227</v>
      </c>
      <c r="AFD52" s="1">
        <v>230.38</v>
      </c>
      <c r="AFE52" s="1">
        <v>0.6</v>
      </c>
      <c r="AFF52" s="1">
        <v>0.21</v>
      </c>
      <c r="AFG52" s="1">
        <v>0.11989898989898991</v>
      </c>
      <c r="AFH52" s="1">
        <v>0.20860000000000001</v>
      </c>
      <c r="AFI52" s="1">
        <v>0.38175323599898991</v>
      </c>
      <c r="AFJ52" s="1">
        <v>0.80999999999999994</v>
      </c>
      <c r="AFK52" s="1">
        <v>20.86</v>
      </c>
      <c r="AFL52" s="1">
        <v>20.86</v>
      </c>
      <c r="AFM52" s="1">
        <v>0</v>
      </c>
      <c r="AFO52" s="1">
        <v>20.86</v>
      </c>
      <c r="AFP52" s="1">
        <v>0</v>
      </c>
      <c r="AFQ52" s="1">
        <v>20.86</v>
      </c>
      <c r="AFX52" s="1">
        <v>22.51</v>
      </c>
    </row>
    <row r="53" spans="1:856" s="1" customFormat="1" ht="63.75" customHeight="1">
      <c r="A53" s="88">
        <v>45</v>
      </c>
      <c r="B53" s="20"/>
      <c r="C53" s="89" t="s">
        <v>554</v>
      </c>
      <c r="D53" s="20"/>
      <c r="E53" s="20" t="s">
        <v>536</v>
      </c>
      <c r="F53" s="20" t="s">
        <v>537</v>
      </c>
      <c r="G53" s="20">
        <v>1.2</v>
      </c>
      <c r="H53" s="20">
        <v>584.1</v>
      </c>
      <c r="I53" s="20">
        <f>584.1+9.2-2.2+31.7</f>
        <v>622.80000000000007</v>
      </c>
      <c r="J53" s="20">
        <f t="shared" si="0"/>
        <v>747.36</v>
      </c>
      <c r="K53" s="20">
        <v>16</v>
      </c>
      <c r="L53" s="20"/>
      <c r="M53" s="20"/>
      <c r="N53" s="20"/>
      <c r="O53" s="90">
        <f t="shared" si="1"/>
        <v>0</v>
      </c>
      <c r="P53" s="20"/>
      <c r="Q53" s="20"/>
      <c r="R53" s="90">
        <f t="shared" si="2"/>
        <v>0</v>
      </c>
      <c r="S53" s="20">
        <v>48.6</v>
      </c>
      <c r="T53" s="20">
        <v>2.6</v>
      </c>
      <c r="U53" s="20">
        <v>3.13</v>
      </c>
      <c r="V53" s="91">
        <f t="shared" si="3"/>
        <v>395.51</v>
      </c>
      <c r="W53" s="20">
        <v>2.1000000000000001E-2</v>
      </c>
      <c r="X53" s="20">
        <f t="shared" si="4"/>
        <v>33.42</v>
      </c>
      <c r="Y53" s="91">
        <f t="shared" si="5"/>
        <v>34.11</v>
      </c>
      <c r="Z53" s="20">
        <v>1.7999999999999999E-2</v>
      </c>
      <c r="AA53" s="20">
        <f t="shared" si="561"/>
        <v>171.12</v>
      </c>
      <c r="AB53" s="91">
        <f t="shared" si="562"/>
        <v>149.69999999999999</v>
      </c>
      <c r="AC53" s="91">
        <f t="shared" si="6"/>
        <v>579.30999999999995</v>
      </c>
      <c r="AD53" s="90">
        <f t="shared" si="7"/>
        <v>0.93</v>
      </c>
      <c r="AE53" s="92">
        <f t="shared" si="8"/>
        <v>6951.7199999999993</v>
      </c>
      <c r="AF53" s="20">
        <v>45</v>
      </c>
      <c r="AG53" s="20">
        <v>42</v>
      </c>
      <c r="AH53" s="20">
        <v>42</v>
      </c>
      <c r="AI53" s="20">
        <v>37</v>
      </c>
      <c r="AJ53" s="20">
        <v>1.6</v>
      </c>
      <c r="AK53" s="90">
        <f t="shared" si="9"/>
        <v>5.6</v>
      </c>
      <c r="AL53" s="90">
        <v>391.01</v>
      </c>
      <c r="AM53" s="90">
        <f t="shared" si="10"/>
        <v>2189.66</v>
      </c>
      <c r="AN53" s="20">
        <v>46</v>
      </c>
      <c r="AO53" s="20">
        <v>43</v>
      </c>
      <c r="AP53" s="20">
        <v>45</v>
      </c>
      <c r="AQ53" s="20">
        <v>46</v>
      </c>
      <c r="AR53" s="20">
        <v>43</v>
      </c>
      <c r="AS53" s="20">
        <v>43</v>
      </c>
      <c r="AT53" s="20">
        <f t="shared" si="11"/>
        <v>3</v>
      </c>
      <c r="AU53" s="20">
        <v>1.6</v>
      </c>
      <c r="AV53" s="90">
        <f t="shared" si="12"/>
        <v>6</v>
      </c>
      <c r="AW53" s="90">
        <f t="shared" si="551"/>
        <v>188.88</v>
      </c>
      <c r="AX53" s="90">
        <v>1082.9100000000001</v>
      </c>
      <c r="AY53" s="90">
        <f t="shared" si="14"/>
        <v>1.74</v>
      </c>
      <c r="AZ53" s="90">
        <f t="shared" si="15"/>
        <v>2346.06</v>
      </c>
      <c r="BA53" s="90">
        <f t="shared" si="16"/>
        <v>-1263.1499999999999</v>
      </c>
      <c r="BB53" s="90">
        <v>1082.9100000000001</v>
      </c>
      <c r="BC53" s="90">
        <v>1.74</v>
      </c>
      <c r="BD53" s="92">
        <f t="shared" si="17"/>
        <v>12994.920000000002</v>
      </c>
      <c r="BE53" s="90"/>
      <c r="BF53" s="90">
        <f t="shared" si="18"/>
        <v>0</v>
      </c>
      <c r="BG53" s="90">
        <v>391.01</v>
      </c>
      <c r="BH53" s="90">
        <f t="shared" si="19"/>
        <v>2346.06</v>
      </c>
      <c r="BI53" s="90">
        <f t="shared" si="20"/>
        <v>3.77</v>
      </c>
      <c r="BJ53" s="90">
        <f t="shared" si="21"/>
        <v>216.66666666666666</v>
      </c>
      <c r="BK53" s="90">
        <f t="shared" si="22"/>
        <v>2346.06</v>
      </c>
      <c r="BL53" s="90">
        <f t="shared" si="23"/>
        <v>3.77</v>
      </c>
      <c r="BM53" s="90"/>
      <c r="BN53" s="90">
        <f t="shared" si="24"/>
        <v>0</v>
      </c>
      <c r="BO53" s="90">
        <f t="shared" si="25"/>
        <v>2346.06</v>
      </c>
      <c r="BP53" s="90">
        <f t="shared" si="26"/>
        <v>3.7669556840077068</v>
      </c>
      <c r="BQ53" s="90"/>
      <c r="BR53" s="90">
        <f t="shared" si="27"/>
        <v>0</v>
      </c>
      <c r="BS53" s="90">
        <f t="shared" si="28"/>
        <v>2346.06</v>
      </c>
      <c r="BT53" s="90">
        <f t="shared" si="29"/>
        <v>3.7669556840077068</v>
      </c>
      <c r="BU53" s="90"/>
      <c r="BV53" s="93">
        <v>1.7027650000000001</v>
      </c>
      <c r="BW53" s="90">
        <f t="shared" si="30"/>
        <v>1060.4820420000001</v>
      </c>
      <c r="BX53" s="90">
        <f t="shared" si="31"/>
        <v>1124.1109645200002</v>
      </c>
      <c r="BY53" s="90"/>
      <c r="BZ53" s="90">
        <v>1364.1462162900002</v>
      </c>
      <c r="CA53" s="90">
        <v>0.37305430897000003</v>
      </c>
      <c r="CB53" s="90">
        <f t="shared" si="556"/>
        <v>232.33822362651605</v>
      </c>
      <c r="CC53" s="90">
        <v>0.37305430897000003</v>
      </c>
      <c r="CD53" s="90">
        <f t="shared" si="563"/>
        <v>232.33822362651605</v>
      </c>
      <c r="CE53" s="90">
        <f t="shared" si="564"/>
        <v>232.33822362651605</v>
      </c>
      <c r="CF53" s="90">
        <f>I53*0.361793891</f>
        <v>225.32523531480001</v>
      </c>
      <c r="CG53" s="90">
        <f>I53*0.361793891</f>
        <v>225.32523531480001</v>
      </c>
      <c r="CH53" s="90">
        <f t="shared" si="565"/>
        <v>225.33</v>
      </c>
      <c r="CI53" s="90">
        <f t="shared" si="601"/>
        <v>237.33600663141354</v>
      </c>
      <c r="CJ53" s="90">
        <f t="shared" si="36"/>
        <v>237.72</v>
      </c>
      <c r="CK53" s="90">
        <f t="shared" si="37"/>
        <v>256.05457367443177</v>
      </c>
      <c r="CL53" s="90">
        <f t="shared" si="38"/>
        <v>256.05457367443177</v>
      </c>
      <c r="CM53" s="94">
        <v>0.14899999999999999</v>
      </c>
      <c r="CN53" s="90">
        <f t="shared" si="39"/>
        <v>158.01182425800002</v>
      </c>
      <c r="CO53" s="90">
        <f t="shared" si="40"/>
        <v>167.49253371348001</v>
      </c>
      <c r="CP53" s="90">
        <v>322.89528150000001</v>
      </c>
      <c r="CQ53" s="90">
        <v>5.0232736819999999E-2</v>
      </c>
      <c r="CR53" s="90">
        <f t="shared" si="557"/>
        <v>31.284948491496003</v>
      </c>
      <c r="CS53" s="90">
        <v>5.0232736819999999E-2</v>
      </c>
      <c r="CT53" s="90">
        <f t="shared" si="566"/>
        <v>31.284948491496003</v>
      </c>
      <c r="CU53" s="90">
        <f t="shared" si="567"/>
        <v>31.284948491496003</v>
      </c>
      <c r="CV53" s="90">
        <f>I53*0.103779163</f>
        <v>64.633662716399996</v>
      </c>
      <c r="CW53" s="90">
        <f t="shared" si="568"/>
        <v>64.63</v>
      </c>
      <c r="CX53" s="90">
        <f t="shared" si="602"/>
        <v>68.073608079653198</v>
      </c>
      <c r="CY53" s="90">
        <f t="shared" si="45"/>
        <v>68.180000000000007</v>
      </c>
      <c r="CZ53" s="90">
        <f t="shared" si="46"/>
        <v>73.442538040112396</v>
      </c>
      <c r="DA53" s="90">
        <f t="shared" si="47"/>
        <v>73.442538040112396</v>
      </c>
      <c r="DB53" s="93">
        <v>1.1979820000000001</v>
      </c>
      <c r="DC53" s="90">
        <f t="shared" si="48"/>
        <v>746.10318960000018</v>
      </c>
      <c r="DD53" s="90">
        <f t="shared" si="49"/>
        <v>790.86938097600023</v>
      </c>
      <c r="DE53" s="90"/>
      <c r="DF53" s="90">
        <v>628.71211545762651</v>
      </c>
      <c r="DG53" s="90">
        <v>0.28219173505</v>
      </c>
      <c r="DH53" s="90">
        <f t="shared" si="558"/>
        <v>175.74901258914002</v>
      </c>
      <c r="DI53" s="90">
        <v>0.28219173505</v>
      </c>
      <c r="DJ53" s="90">
        <f t="shared" si="569"/>
        <v>175.74901258914002</v>
      </c>
      <c r="DK53" s="90">
        <f t="shared" si="570"/>
        <v>175.74901258914002</v>
      </c>
      <c r="DL53" s="90">
        <f>I53*0.228495796</f>
        <v>142.30718174880002</v>
      </c>
      <c r="DM53" s="90">
        <f t="shared" si="571"/>
        <v>142.31</v>
      </c>
      <c r="DN53" s="90">
        <f t="shared" si="603"/>
        <v>149.89254472869328</v>
      </c>
      <c r="DO53" s="90">
        <f t="shared" si="54"/>
        <v>150.13999999999999</v>
      </c>
      <c r="DP53" s="90">
        <f t="shared" si="55"/>
        <v>161.71449154399497</v>
      </c>
      <c r="DQ53" s="90">
        <f t="shared" si="56"/>
        <v>161.71449154399497</v>
      </c>
      <c r="DR53" s="93">
        <v>4.2594E-2</v>
      </c>
      <c r="DS53" s="90">
        <f t="shared" si="57"/>
        <v>26.527543200000004</v>
      </c>
      <c r="DT53" s="90">
        <f t="shared" si="58"/>
        <v>28.119195792000006</v>
      </c>
      <c r="DU53" s="90">
        <v>23.779932043413528</v>
      </c>
      <c r="DV53" s="90">
        <v>1.366632888E-2</v>
      </c>
      <c r="DW53" s="90">
        <f t="shared" si="559"/>
        <v>8.5113896264640019</v>
      </c>
      <c r="DX53" s="90">
        <v>1.366632888E-2</v>
      </c>
      <c r="DY53" s="90">
        <f t="shared" si="572"/>
        <v>8.5113896264640019</v>
      </c>
      <c r="DZ53" s="90">
        <f t="shared" si="573"/>
        <v>8.5113896264640019</v>
      </c>
      <c r="EA53" s="90">
        <f t="shared" si="574"/>
        <v>8.51</v>
      </c>
      <c r="EB53" s="90">
        <f t="shared" si="604"/>
        <v>8.9634288218760432</v>
      </c>
      <c r="EC53" s="90">
        <f t="shared" si="63"/>
        <v>8.98</v>
      </c>
      <c r="ED53" s="90">
        <f t="shared" si="64"/>
        <v>9.6703697775236943</v>
      </c>
      <c r="EE53" s="90">
        <f t="shared" si="65"/>
        <v>9.6703697775236943</v>
      </c>
      <c r="EF53" s="94">
        <v>0.85293354333000004</v>
      </c>
      <c r="EG53" s="90">
        <f t="shared" si="66"/>
        <v>637.44841294310879</v>
      </c>
      <c r="EH53" s="90">
        <f t="shared" si="67"/>
        <v>675.69531771969537</v>
      </c>
      <c r="EI53" s="90">
        <v>812.96663509525558</v>
      </c>
      <c r="EJ53" s="90">
        <v>0.13912706999999999</v>
      </c>
      <c r="EK53" s="90">
        <f t="shared" si="595"/>
        <v>103.97800703519999</v>
      </c>
      <c r="EL53" s="90">
        <v>0.16695248382</v>
      </c>
      <c r="EM53" s="90">
        <f t="shared" si="575"/>
        <v>103.978006923096</v>
      </c>
      <c r="EN53" s="90">
        <f t="shared" si="576"/>
        <v>103.978006923096</v>
      </c>
      <c r="EO53" s="90">
        <f>J53*0.135381707</f>
        <v>101.17887254352</v>
      </c>
      <c r="EP53" s="90">
        <f t="shared" si="577"/>
        <v>101.18</v>
      </c>
      <c r="EQ53" s="90">
        <f t="shared" si="605"/>
        <v>106.5710608927636</v>
      </c>
      <c r="ER53" s="90">
        <f t="shared" si="72"/>
        <v>106.74</v>
      </c>
      <c r="ES53" s="90">
        <f t="shared" si="73"/>
        <v>114.97626487542274</v>
      </c>
      <c r="ET53" s="90">
        <f t="shared" si="74"/>
        <v>114.97626487542274</v>
      </c>
      <c r="EU53" s="94">
        <v>0.14899999999999999</v>
      </c>
      <c r="EV53" s="90">
        <f t="shared" si="75"/>
        <v>94.979813528523209</v>
      </c>
      <c r="EW53" s="90">
        <f t="shared" si="76"/>
        <v>100.6786023402346</v>
      </c>
      <c r="EX53" s="90">
        <v>121.14818829883347</v>
      </c>
      <c r="EY53" s="90">
        <v>2.0730999999999999E-2</v>
      </c>
      <c r="EZ53" s="90">
        <f t="shared" si="596"/>
        <v>15.493520159999999</v>
      </c>
      <c r="FA53" s="90">
        <v>2.4876671749999999E-2</v>
      </c>
      <c r="FB53" s="90">
        <f t="shared" si="578"/>
        <v>15.493191165900001</v>
      </c>
      <c r="FC53" s="90">
        <f t="shared" si="579"/>
        <v>15.493191165900001</v>
      </c>
      <c r="FD53" s="90">
        <f>J53*0.041845299</f>
        <v>31.273502660640002</v>
      </c>
      <c r="FE53" s="90">
        <f t="shared" si="580"/>
        <v>31.27</v>
      </c>
      <c r="FF53" s="90">
        <f t="shared" si="606"/>
        <v>32.93612447239294</v>
      </c>
      <c r="FG53" s="90">
        <f t="shared" si="81"/>
        <v>32.99</v>
      </c>
      <c r="FH53" s="90">
        <f t="shared" si="82"/>
        <v>35.5337794292792</v>
      </c>
      <c r="FI53" s="90">
        <f t="shared" si="83"/>
        <v>35.5337794292792</v>
      </c>
      <c r="FJ53" s="93">
        <v>0.49981642240000002</v>
      </c>
      <c r="FK53" s="90">
        <f t="shared" si="84"/>
        <v>373.54280144486404</v>
      </c>
      <c r="FL53" s="90">
        <f t="shared" si="85"/>
        <v>395.9553695315559</v>
      </c>
      <c r="FM53" s="90">
        <v>448.44961252154263</v>
      </c>
      <c r="FN53" s="90">
        <v>8.9680701000000002E-2</v>
      </c>
      <c r="FO53" s="90">
        <f t="shared" si="597"/>
        <v>67.023768699360005</v>
      </c>
      <c r="FP53" s="90">
        <v>0.10761684168000001</v>
      </c>
      <c r="FQ53" s="90">
        <f t="shared" si="581"/>
        <v>67.023768998304007</v>
      </c>
      <c r="FR53" s="90">
        <f t="shared" si="582"/>
        <v>67.023768998304007</v>
      </c>
      <c r="FS53" s="90">
        <f>J53*0.069578257</f>
        <v>52.000006151520004</v>
      </c>
      <c r="FT53" s="90">
        <f t="shared" si="89"/>
        <v>54.5</v>
      </c>
      <c r="FU53" s="90">
        <f>J53*0.0818196</f>
        <v>61.148696256000008</v>
      </c>
      <c r="FV53" s="90">
        <f t="shared" si="583"/>
        <v>61.15</v>
      </c>
      <c r="FW53" s="90">
        <f t="shared" si="607"/>
        <v>64.408187127816703</v>
      </c>
      <c r="FX53" s="90">
        <f t="shared" si="91"/>
        <v>64.510000000000005</v>
      </c>
      <c r="FY53" s="90">
        <f t="shared" si="92"/>
        <v>69.488027249773694</v>
      </c>
      <c r="FZ53" s="90">
        <f t="shared" si="93"/>
        <v>69.488027249773694</v>
      </c>
      <c r="GA53" s="94">
        <v>1.352261642E-2</v>
      </c>
      <c r="GB53" s="90">
        <f t="shared" si="94"/>
        <v>10.1062626076512</v>
      </c>
      <c r="GC53" s="90">
        <f t="shared" si="95"/>
        <v>10.712638364110273</v>
      </c>
      <c r="GD53" s="90">
        <v>13.089957495624621</v>
      </c>
      <c r="GE53" s="90">
        <v>2.4269999999999999E-3</v>
      </c>
      <c r="GF53" s="90">
        <f t="shared" si="598"/>
        <v>1.81384272</v>
      </c>
      <c r="GG53" s="90">
        <v>2.9119942899999999E-3</v>
      </c>
      <c r="GH53" s="90">
        <f t="shared" si="584"/>
        <v>1.8135900438120001</v>
      </c>
      <c r="GI53" s="90">
        <f t="shared" si="585"/>
        <v>1.8135900438120001</v>
      </c>
      <c r="GJ53" s="90">
        <f t="shared" si="586"/>
        <v>1.81</v>
      </c>
      <c r="GK53" s="90">
        <f t="shared" si="608"/>
        <v>1.906440207708066</v>
      </c>
      <c r="GL53" s="90">
        <f t="shared" si="100"/>
        <v>1.91</v>
      </c>
      <c r="GM53" s="90">
        <f t="shared" si="101"/>
        <v>2.0568001524462858</v>
      </c>
      <c r="GN53" s="90">
        <f t="shared" si="102"/>
        <v>2.0568001524462858</v>
      </c>
      <c r="GO53" s="90">
        <v>3225.6</v>
      </c>
      <c r="GP53" s="90">
        <f t="shared" si="103"/>
        <v>268.8</v>
      </c>
      <c r="GQ53" s="90">
        <f>2116.8+138.6</f>
        <v>2255.4</v>
      </c>
      <c r="GR53" s="90">
        <f t="shared" si="104"/>
        <v>187.95000000000002</v>
      </c>
      <c r="GS53" s="90">
        <f t="shared" si="105"/>
        <v>456.75</v>
      </c>
      <c r="GT53" s="90">
        <f t="shared" si="106"/>
        <v>0.73</v>
      </c>
      <c r="GU53" s="90">
        <v>3684.48</v>
      </c>
      <c r="GV53" s="90">
        <f>2006.4+132.24</f>
        <v>2138.6400000000003</v>
      </c>
      <c r="GW53" s="90">
        <f t="shared" si="107"/>
        <v>485.26000000000005</v>
      </c>
      <c r="GX53" s="90">
        <f t="shared" si="108"/>
        <v>0.78</v>
      </c>
      <c r="GY53" s="90">
        <v>6584.64</v>
      </c>
      <c r="GZ53" s="90">
        <f>2134.08+141.36</f>
        <v>2275.44</v>
      </c>
      <c r="HA53" s="90">
        <f t="shared" si="109"/>
        <v>738.34</v>
      </c>
      <c r="HB53" s="90">
        <f t="shared" si="110"/>
        <v>1.19</v>
      </c>
      <c r="HC53" s="90">
        <v>6584.64</v>
      </c>
      <c r="HD53" s="90">
        <f>2134.08+141.36</f>
        <v>2275.44</v>
      </c>
      <c r="HE53" s="90">
        <f t="shared" si="111"/>
        <v>738.34</v>
      </c>
      <c r="HF53" s="90">
        <f t="shared" si="112"/>
        <v>1.19</v>
      </c>
      <c r="HG53" s="90"/>
      <c r="HH53" s="90"/>
      <c r="HI53" s="90">
        <v>0.96</v>
      </c>
      <c r="HJ53" s="90">
        <f t="shared" si="113"/>
        <v>597.88800000000003</v>
      </c>
      <c r="HK53" s="90">
        <f t="shared" si="114"/>
        <v>1.0099229287090559</v>
      </c>
      <c r="HL53" s="90">
        <f t="shared" si="587"/>
        <v>628.98</v>
      </c>
      <c r="HM53" s="90">
        <v>1.07</v>
      </c>
      <c r="HN53" s="90">
        <f t="shared" si="116"/>
        <v>666.39600000000007</v>
      </c>
      <c r="HO53" s="90">
        <v>1.1499999999999999</v>
      </c>
      <c r="HP53" s="90">
        <f t="shared" si="117"/>
        <v>716.22</v>
      </c>
      <c r="HQ53" s="90">
        <v>1.1499999999999999</v>
      </c>
      <c r="HR53" s="90">
        <f t="shared" si="118"/>
        <v>716.22</v>
      </c>
      <c r="HS53" s="90">
        <v>0.96</v>
      </c>
      <c r="HT53" s="90">
        <f t="shared" si="588"/>
        <v>597.88800000000003</v>
      </c>
      <c r="HU53" s="90" t="e">
        <f>HT53*#REF!</f>
        <v>#REF!</v>
      </c>
      <c r="HV53" s="90">
        <v>2.83</v>
      </c>
      <c r="HW53" s="20">
        <v>3.49</v>
      </c>
      <c r="HX53" s="90">
        <f t="shared" si="120"/>
        <v>2173.5720000000006</v>
      </c>
      <c r="HY53" s="90">
        <v>1.06</v>
      </c>
      <c r="HZ53" s="90">
        <f t="shared" si="121"/>
        <v>2303.9863200000009</v>
      </c>
      <c r="IA53" s="90">
        <f t="shared" si="122"/>
        <v>3.7</v>
      </c>
      <c r="IB53" s="90">
        <f t="shared" si="123"/>
        <v>3.88</v>
      </c>
      <c r="IC53" s="90">
        <f t="shared" si="124"/>
        <v>2416.4640000000004</v>
      </c>
      <c r="ID53" s="90">
        <f t="shared" si="125"/>
        <v>4.09</v>
      </c>
      <c r="IE53" s="90">
        <f t="shared" si="126"/>
        <v>2547.25</v>
      </c>
      <c r="IF53" s="90">
        <f t="shared" si="127"/>
        <v>4.09</v>
      </c>
      <c r="IG53" s="92">
        <f t="shared" si="128"/>
        <v>30567</v>
      </c>
      <c r="IH53" s="90">
        <v>4.3899999999999997</v>
      </c>
      <c r="II53" s="90">
        <f t="shared" si="129"/>
        <v>4.6100000000000003</v>
      </c>
      <c r="IJ53" s="90">
        <f t="shared" si="130"/>
        <v>2871.11</v>
      </c>
      <c r="IK53" s="90">
        <f t="shared" si="131"/>
        <v>4.6100000000000003</v>
      </c>
      <c r="IL53" s="90">
        <f t="shared" si="132"/>
        <v>2871.11</v>
      </c>
      <c r="IM53" s="90">
        <f t="shared" si="133"/>
        <v>4.6100000000000003</v>
      </c>
      <c r="IN53" s="90">
        <f t="shared" si="134"/>
        <v>2871.11</v>
      </c>
      <c r="IO53" s="90">
        <f t="shared" si="135"/>
        <v>4.6100000000000003</v>
      </c>
      <c r="IP53" s="93">
        <v>0.37052404126999999</v>
      </c>
      <c r="IQ53" s="90">
        <f t="shared" si="136"/>
        <v>276.91484748354719</v>
      </c>
      <c r="IR53" s="90">
        <f t="shared" si="137"/>
        <v>293.52973833256004</v>
      </c>
      <c r="IS53" s="90">
        <v>18121.54</v>
      </c>
      <c r="IT53" s="90">
        <v>509.05</v>
      </c>
      <c r="IU53" s="90"/>
      <c r="IV53" s="90">
        <v>138.9859360738657</v>
      </c>
      <c r="IW53" s="90">
        <v>1.89119998663</v>
      </c>
      <c r="IX53" s="90">
        <f>$I53*IW53</f>
        <v>1177.8393516731642</v>
      </c>
      <c r="IY53" s="90">
        <v>1.89119998663</v>
      </c>
      <c r="IZ53" s="90">
        <f t="shared" si="139"/>
        <v>1177.8393516731642</v>
      </c>
      <c r="JA53" s="90">
        <f t="shared" si="589"/>
        <v>1146.7</v>
      </c>
      <c r="JB53" s="90">
        <f t="shared" si="609"/>
        <v>1207.7983349054361</v>
      </c>
      <c r="JC53" s="90">
        <f t="shared" si="141"/>
        <v>1209.77</v>
      </c>
      <c r="JD53" s="90">
        <f t="shared" si="142"/>
        <v>1303.0567595636219</v>
      </c>
      <c r="JE53" s="90">
        <f t="shared" si="143"/>
        <v>1303.0567595636219</v>
      </c>
      <c r="JF53" s="93">
        <v>4.2278943710000003E-2</v>
      </c>
      <c r="JG53" s="90">
        <f t="shared" si="144"/>
        <v>31.597591371105601</v>
      </c>
      <c r="JH53" s="90">
        <f t="shared" si="145"/>
        <v>33.493446853371935</v>
      </c>
      <c r="JI53" s="20">
        <v>101.71</v>
      </c>
      <c r="JJ53" s="90">
        <v>17.687697689600334</v>
      </c>
      <c r="JK53" s="90">
        <v>0.21559114040999999</v>
      </c>
      <c r="JL53" s="90">
        <f>$I53*JK53</f>
        <v>134.270162247348</v>
      </c>
      <c r="JM53" s="90">
        <v>0.21559114040999999</v>
      </c>
      <c r="JN53" s="90">
        <f t="shared" si="147"/>
        <v>134.270162247348</v>
      </c>
      <c r="JO53" s="90">
        <f t="shared" si="590"/>
        <v>134.27000000000001</v>
      </c>
      <c r="JP53" s="90">
        <f t="shared" si="610"/>
        <v>141.42415839169172</v>
      </c>
      <c r="JQ53" s="90">
        <f t="shared" si="149"/>
        <v>141.65</v>
      </c>
      <c r="JR53" s="90">
        <f t="shared" si="150"/>
        <v>152.57820799390211</v>
      </c>
      <c r="JS53" s="90">
        <f t="shared" si="151"/>
        <v>152.57820799390211</v>
      </c>
      <c r="JT53" s="93">
        <v>7.3220517000000002E-3</v>
      </c>
      <c r="JU53" s="90">
        <f t="shared" si="152"/>
        <v>5.4722085585120004</v>
      </c>
      <c r="JV53" s="90">
        <f t="shared" si="591"/>
        <v>5.47</v>
      </c>
      <c r="JW53" s="90">
        <f t="shared" si="611"/>
        <v>5.7614518984326626</v>
      </c>
      <c r="JX53" s="90">
        <f t="shared" si="154"/>
        <v>5.77</v>
      </c>
      <c r="JY53" s="90">
        <f t="shared" si="155"/>
        <v>6.2158546043542433</v>
      </c>
      <c r="JZ53" s="90">
        <f t="shared" si="156"/>
        <v>6.2158546043542433</v>
      </c>
      <c r="KA53" s="90">
        <v>7.3220999999999998E-3</v>
      </c>
      <c r="KB53" s="90">
        <f t="shared" si="599"/>
        <v>5.472244656</v>
      </c>
      <c r="KC53" s="90" t="e">
        <f>KB53*#REF!</f>
        <v>#REF!</v>
      </c>
      <c r="KD53" s="90">
        <v>17952.740000000002</v>
      </c>
      <c r="KE53" s="90">
        <v>22700.14</v>
      </c>
      <c r="KF53" s="90"/>
      <c r="KG53" s="90">
        <f t="shared" si="550"/>
        <v>787.4924491748892</v>
      </c>
      <c r="KH53" s="90" t="e">
        <f>KG53/(BW53+#REF!)*(CB53+#REF!)</f>
        <v>#REF!</v>
      </c>
      <c r="KI53" s="90">
        <v>0.8</v>
      </c>
      <c r="KJ53" s="94"/>
      <c r="KK53" s="90">
        <f t="shared" si="159"/>
        <v>0</v>
      </c>
      <c r="KL53" s="93">
        <v>1.7272052</v>
      </c>
      <c r="KM53" s="90">
        <f t="shared" si="600"/>
        <v>1075.7033985600001</v>
      </c>
      <c r="KN53" s="90">
        <f t="shared" si="161"/>
        <v>1140.2456024736002</v>
      </c>
      <c r="KO53" s="90" t="e">
        <f>BW53+CN53+DC53+DS53+EG53+EV53+FK53+GB53+#REF!+#REF!+HJ53+HX53+IQ53+JG53+JU53+KK53+KM53</f>
        <v>#REF!</v>
      </c>
      <c r="KP53" s="90">
        <v>796.16624606450057</v>
      </c>
      <c r="KQ53" s="90">
        <v>0.28334929455000002</v>
      </c>
      <c r="KR53" s="90">
        <f t="shared" si="560"/>
        <v>176.46994064574002</v>
      </c>
      <c r="KS53" s="90">
        <v>0.28334929455000002</v>
      </c>
      <c r="KT53" s="90">
        <f t="shared" si="592"/>
        <v>176.46994064574002</v>
      </c>
      <c r="KU53" s="90">
        <f t="shared" si="593"/>
        <v>176.46994064574002</v>
      </c>
      <c r="KV53" s="90">
        <f t="shared" si="594"/>
        <v>176.47</v>
      </c>
      <c r="KW53" s="90">
        <f t="shared" si="612"/>
        <v>185.87265384212287</v>
      </c>
      <c r="KX53" s="90">
        <f t="shared" si="166"/>
        <v>186.18</v>
      </c>
      <c r="KY53" s="90">
        <f t="shared" si="167"/>
        <v>200.53233309513595</v>
      </c>
      <c r="KZ53" s="90">
        <f t="shared" si="168"/>
        <v>200.53233309513595</v>
      </c>
      <c r="LA53" s="90">
        <f t="shared" si="169"/>
        <v>2877.3400000000015</v>
      </c>
      <c r="LB53" s="90">
        <f t="shared" si="170"/>
        <v>4.62</v>
      </c>
      <c r="LC53" s="92">
        <f t="shared" si="171"/>
        <v>34528.080000000016</v>
      </c>
      <c r="LD53" s="92">
        <v>4.97</v>
      </c>
      <c r="LE53" s="92">
        <v>3095.3199999999997</v>
      </c>
      <c r="LF53" s="90">
        <f t="shared" si="172"/>
        <v>4.9800000000000004</v>
      </c>
      <c r="LG53" s="90">
        <f t="shared" si="173"/>
        <v>3101.54</v>
      </c>
      <c r="LH53" s="90">
        <f t="shared" si="174"/>
        <v>3093.1405000000013</v>
      </c>
      <c r="LI53" s="90">
        <f t="shared" si="175"/>
        <v>4.97</v>
      </c>
      <c r="LJ53" s="90">
        <f t="shared" si="176"/>
        <v>3101.5399999999991</v>
      </c>
      <c r="LK53" s="90">
        <f t="shared" si="177"/>
        <v>4.9800000000000004</v>
      </c>
      <c r="LL53" s="90">
        <f t="shared" si="178"/>
        <v>3101.5399999999991</v>
      </c>
      <c r="LM53" s="90">
        <f t="shared" si="179"/>
        <v>4.9800000000000004</v>
      </c>
      <c r="LN53" s="95">
        <v>0.46</v>
      </c>
      <c r="LO53" s="95">
        <f t="shared" si="180"/>
        <v>286.49</v>
      </c>
      <c r="LP53" s="95"/>
      <c r="LQ53" s="95">
        <f t="shared" si="181"/>
        <v>0</v>
      </c>
      <c r="LR53" s="90"/>
      <c r="LS53" s="90"/>
      <c r="LT53" s="90">
        <f t="shared" si="182"/>
        <v>0</v>
      </c>
      <c r="LU53" s="90"/>
      <c r="LV53" s="90">
        <f t="shared" si="183"/>
        <v>0</v>
      </c>
      <c r="LW53" s="90">
        <f t="shared" si="184"/>
        <v>0</v>
      </c>
      <c r="LX53" s="90"/>
      <c r="LY53" s="90"/>
      <c r="LZ53" s="90">
        <f t="shared" si="185"/>
        <v>0</v>
      </c>
      <c r="MA53" s="90"/>
      <c r="MB53" s="90">
        <f t="shared" si="186"/>
        <v>0</v>
      </c>
      <c r="MC53" s="90">
        <f t="shared" si="187"/>
        <v>0</v>
      </c>
      <c r="MD53" s="90"/>
      <c r="ME53" s="90"/>
      <c r="MF53" s="90">
        <f t="shared" si="188"/>
        <v>0</v>
      </c>
      <c r="MG53" s="90"/>
      <c r="MH53" s="90">
        <f t="shared" si="189"/>
        <v>0</v>
      </c>
      <c r="MI53" s="90">
        <f t="shared" si="190"/>
        <v>0</v>
      </c>
      <c r="MJ53" s="90"/>
      <c r="MK53" s="90"/>
      <c r="ML53" s="90">
        <f t="shared" si="191"/>
        <v>0</v>
      </c>
      <c r="MM53" s="90"/>
      <c r="MN53" s="90">
        <f t="shared" si="192"/>
        <v>0</v>
      </c>
      <c r="MO53" s="90">
        <f t="shared" si="193"/>
        <v>0</v>
      </c>
      <c r="MP53" s="90">
        <f t="shared" si="194"/>
        <v>0</v>
      </c>
      <c r="MQ53" s="90">
        <f t="shared" si="195"/>
        <v>0</v>
      </c>
      <c r="MR53" s="90">
        <f t="shared" si="196"/>
        <v>0</v>
      </c>
      <c r="MS53" s="90">
        <f t="shared" si="197"/>
        <v>0</v>
      </c>
      <c r="MT53" s="95"/>
      <c r="MU53" s="95">
        <f t="shared" si="198"/>
        <v>0</v>
      </c>
      <c r="MV53" s="92">
        <f t="shared" si="199"/>
        <v>0</v>
      </c>
      <c r="MW53" s="95"/>
      <c r="MX53" s="95">
        <f t="shared" si="200"/>
        <v>0</v>
      </c>
      <c r="MY53" s="95"/>
      <c r="MZ53" s="95">
        <f t="shared" si="201"/>
        <v>0</v>
      </c>
      <c r="NA53" s="95"/>
      <c r="NB53" s="95">
        <f t="shared" si="202"/>
        <v>0</v>
      </c>
      <c r="NC53" s="92">
        <f t="shared" si="203"/>
        <v>0</v>
      </c>
      <c r="ND53" s="95"/>
      <c r="NE53" s="95">
        <f t="shared" si="204"/>
        <v>0</v>
      </c>
      <c r="NF53" s="95"/>
      <c r="NG53" s="95">
        <f t="shared" si="205"/>
        <v>0</v>
      </c>
      <c r="NH53" s="95"/>
      <c r="NI53" s="95"/>
      <c r="NJ53" s="95">
        <f t="shared" si="206"/>
        <v>0</v>
      </c>
      <c r="NK53" s="92">
        <f t="shared" si="207"/>
        <v>0</v>
      </c>
      <c r="NL53" s="95"/>
      <c r="NM53" s="95">
        <f t="shared" si="208"/>
        <v>0</v>
      </c>
      <c r="NN53" s="95"/>
      <c r="NO53" s="95">
        <f t="shared" si="209"/>
        <v>0</v>
      </c>
      <c r="NP53" s="95"/>
      <c r="NQ53" s="95">
        <f t="shared" si="210"/>
        <v>0</v>
      </c>
      <c r="NR53" s="92">
        <f t="shared" si="211"/>
        <v>0</v>
      </c>
      <c r="NS53" s="95"/>
      <c r="NT53" s="95">
        <f t="shared" si="212"/>
        <v>0</v>
      </c>
      <c r="NU53" s="95"/>
      <c r="NV53" s="95">
        <f t="shared" si="213"/>
        <v>0</v>
      </c>
      <c r="NW53" s="95"/>
      <c r="NX53" s="95">
        <f t="shared" si="214"/>
        <v>0</v>
      </c>
      <c r="NY53" s="92">
        <f t="shared" si="215"/>
        <v>0</v>
      </c>
      <c r="NZ53" s="112"/>
      <c r="OA53" s="95">
        <f t="shared" si="216"/>
        <v>0</v>
      </c>
      <c r="OB53" s="112"/>
      <c r="OC53" s="95">
        <f t="shared" si="217"/>
        <v>0</v>
      </c>
      <c r="OD53" s="90">
        <v>2254.54</v>
      </c>
      <c r="OE53" s="90">
        <f t="shared" si="218"/>
        <v>3.62</v>
      </c>
      <c r="OF53" s="92">
        <f t="shared" si="219"/>
        <v>27054.48</v>
      </c>
      <c r="OG53" s="96">
        <v>1082.9100000000001</v>
      </c>
      <c r="OH53" s="96">
        <v>1.74</v>
      </c>
      <c r="OI53" s="90">
        <v>3338.21</v>
      </c>
      <c r="OJ53" s="90">
        <f t="shared" si="220"/>
        <v>5.36</v>
      </c>
      <c r="OK53" s="90">
        <f t="shared" si="221"/>
        <v>3337.45</v>
      </c>
      <c r="OL53" s="90">
        <f t="shared" si="222"/>
        <v>5.36</v>
      </c>
      <c r="OM53" s="90">
        <f t="shared" si="223"/>
        <v>0</v>
      </c>
      <c r="ON53" s="90">
        <v>2254.54</v>
      </c>
      <c r="OO53" s="90">
        <f t="shared" si="224"/>
        <v>3.62</v>
      </c>
      <c r="OP53" s="90">
        <v>2255.3000000000002</v>
      </c>
      <c r="OQ53" s="90">
        <v>3.62</v>
      </c>
      <c r="OR53" s="90">
        <f t="shared" si="225"/>
        <v>0</v>
      </c>
      <c r="OS53" s="90">
        <f t="shared" si="226"/>
        <v>3.62</v>
      </c>
      <c r="OT53" s="90">
        <v>2254.54</v>
      </c>
      <c r="OU53" s="90">
        <f t="shared" si="227"/>
        <v>3.62</v>
      </c>
      <c r="OV53" s="97">
        <v>4808.0200000000004</v>
      </c>
      <c r="OW53" s="90">
        <f>ROUND((I53*OY53),2)</f>
        <v>5430.82</v>
      </c>
      <c r="OX53" s="90">
        <f t="shared" si="229"/>
        <v>8.7200000000000006</v>
      </c>
      <c r="OY53" s="90">
        <f>OU53+0.55+3.55+1</f>
        <v>8.7199999999999989</v>
      </c>
      <c r="OZ53" s="90"/>
      <c r="PA53" s="90"/>
      <c r="PB53" s="95">
        <f t="shared" si="230"/>
        <v>0</v>
      </c>
      <c r="PC53" s="92">
        <f t="shared" si="231"/>
        <v>0</v>
      </c>
      <c r="PD53" s="90"/>
      <c r="PE53" s="95">
        <f t="shared" si="232"/>
        <v>0</v>
      </c>
      <c r="PF53" s="90">
        <f t="shared" si="233"/>
        <v>9218.7900000000009</v>
      </c>
      <c r="PG53" s="90">
        <f t="shared" si="234"/>
        <v>14.8</v>
      </c>
      <c r="PH53" s="90">
        <f t="shared" si="235"/>
        <v>14774.359999999999</v>
      </c>
      <c r="PI53" s="90">
        <f t="shared" si="236"/>
        <v>23.72</v>
      </c>
      <c r="PJ53" s="90">
        <f t="shared" si="237"/>
        <v>14774.359999999999</v>
      </c>
      <c r="PK53" s="90">
        <f t="shared" si="238"/>
        <v>23.72</v>
      </c>
      <c r="PL53" s="90"/>
      <c r="PM53" s="90">
        <f t="shared" si="239"/>
        <v>276.56</v>
      </c>
      <c r="PN53" s="90">
        <f t="shared" si="240"/>
        <v>0.44</v>
      </c>
      <c r="PO53" s="92">
        <f t="shared" si="241"/>
        <v>3318.7200000000003</v>
      </c>
      <c r="PP53" s="90">
        <f t="shared" si="242"/>
        <v>443.23</v>
      </c>
      <c r="PQ53" s="90">
        <f t="shared" si="243"/>
        <v>0.71</v>
      </c>
      <c r="PR53" s="90">
        <f t="shared" si="244"/>
        <v>443.23</v>
      </c>
      <c r="PS53" s="90">
        <f t="shared" si="245"/>
        <v>0.71</v>
      </c>
      <c r="PT53" s="90">
        <f t="shared" si="246"/>
        <v>9495.35</v>
      </c>
      <c r="PU53" s="90">
        <f t="shared" si="247"/>
        <v>15.25</v>
      </c>
      <c r="PV53" s="90">
        <f t="shared" si="248"/>
        <v>15217.589999999998</v>
      </c>
      <c r="PW53" s="90">
        <f t="shared" si="249"/>
        <v>24.43</v>
      </c>
      <c r="PX53" s="90">
        <f t="shared" si="250"/>
        <v>15217.589999999998</v>
      </c>
      <c r="PY53" s="90">
        <f t="shared" si="251"/>
        <v>24.43</v>
      </c>
      <c r="PZ53" s="90">
        <f t="shared" si="252"/>
        <v>95.91</v>
      </c>
      <c r="QA53" s="90">
        <f t="shared" si="253"/>
        <v>0.15</v>
      </c>
      <c r="QB53" s="92">
        <f t="shared" si="254"/>
        <v>1150.92</v>
      </c>
      <c r="QC53" s="90">
        <f t="shared" si="255"/>
        <v>153.71</v>
      </c>
      <c r="QD53" s="90">
        <f t="shared" si="256"/>
        <v>0.25</v>
      </c>
      <c r="QE53" s="90">
        <f t="shared" si="257"/>
        <v>153.71</v>
      </c>
      <c r="QF53" s="90">
        <f t="shared" si="258"/>
        <v>0.25</v>
      </c>
      <c r="QG53" s="90">
        <f t="shared" si="259"/>
        <v>9591.26</v>
      </c>
      <c r="QH53" s="90">
        <f t="shared" si="260"/>
        <v>15.4</v>
      </c>
      <c r="QI53" s="92">
        <f t="shared" si="261"/>
        <v>115095.12</v>
      </c>
      <c r="QJ53" s="90">
        <f t="shared" si="262"/>
        <v>201.27265384212288</v>
      </c>
      <c r="QK53" s="98">
        <f t="shared" si="263"/>
        <v>0.30089999999999995</v>
      </c>
      <c r="QL53" s="90">
        <f t="shared" si="264"/>
        <v>187.40052</v>
      </c>
      <c r="QM53" s="90">
        <f t="shared" si="265"/>
        <v>0.14560000000000001</v>
      </c>
      <c r="QN53" s="90">
        <f t="shared" si="266"/>
        <v>90.679680000000019</v>
      </c>
      <c r="QO53" s="90">
        <v>0.26789999999999997</v>
      </c>
      <c r="QP53" s="90">
        <v>0.17860000000000001</v>
      </c>
      <c r="QQ53" s="97">
        <f t="shared" si="267"/>
        <v>278.08019999999999</v>
      </c>
      <c r="QR53" s="97">
        <v>278.08019999999999</v>
      </c>
      <c r="QS53" s="97">
        <f t="shared" si="268"/>
        <v>0</v>
      </c>
      <c r="QT53" s="90"/>
      <c r="QU53" s="90">
        <f t="shared" si="269"/>
        <v>0.14560000000000001</v>
      </c>
      <c r="QV53" s="90">
        <f t="shared" si="270"/>
        <v>90.679680000000019</v>
      </c>
      <c r="QW53" s="90">
        <f t="shared" si="271"/>
        <v>278.08019999999999</v>
      </c>
      <c r="QX53" s="90">
        <f t="shared" si="272"/>
        <v>0.44649999999999995</v>
      </c>
      <c r="QY53" s="90"/>
      <c r="QZ53" s="90"/>
      <c r="RA53" s="90"/>
      <c r="RB53" s="90">
        <v>2728.0799999999995</v>
      </c>
      <c r="RC53" s="97">
        <f t="shared" si="273"/>
        <v>9591.26</v>
      </c>
      <c r="RD53" s="97">
        <f t="shared" si="274"/>
        <v>15.4</v>
      </c>
      <c r="RE53" s="90">
        <f t="shared" si="275"/>
        <v>15371.299999999997</v>
      </c>
      <c r="RF53" s="90">
        <f t="shared" si="276"/>
        <v>24.68</v>
      </c>
      <c r="RG53" s="90">
        <f t="shared" si="277"/>
        <v>160.3638726445744</v>
      </c>
      <c r="RH53" s="90">
        <f t="shared" si="278"/>
        <v>15371.299999999997</v>
      </c>
      <c r="RI53" s="90">
        <f t="shared" si="279"/>
        <v>24.68</v>
      </c>
      <c r="RJ53" s="90">
        <v>23.27</v>
      </c>
      <c r="RK53" s="90">
        <v>0</v>
      </c>
      <c r="RL53" s="90">
        <f t="shared" si="280"/>
        <v>1.4100000000000001</v>
      </c>
      <c r="RM53" s="90">
        <f t="shared" si="281"/>
        <v>109.34455270150578</v>
      </c>
      <c r="RN53" s="90">
        <f t="shared" si="282"/>
        <v>7274.760000000002</v>
      </c>
      <c r="RO53" s="90"/>
      <c r="RP53" s="90"/>
      <c r="RQ53" s="99">
        <v>3345</v>
      </c>
      <c r="RR53" s="90">
        <f t="shared" si="283"/>
        <v>7336.7200000000021</v>
      </c>
      <c r="RS53" s="90">
        <f t="shared" si="284"/>
        <v>11.780218368657676</v>
      </c>
      <c r="RT53" s="20">
        <v>14.56</v>
      </c>
      <c r="RU53" s="90">
        <f t="shared" si="285"/>
        <v>9067.9680000000008</v>
      </c>
      <c r="RV53" s="90">
        <f t="shared" si="286"/>
        <v>0.3231738179867098</v>
      </c>
      <c r="RW53" s="20">
        <v>13.49</v>
      </c>
      <c r="RX53" s="90">
        <f t="shared" si="287"/>
        <v>14.1645</v>
      </c>
      <c r="RY53" s="90">
        <f t="shared" si="288"/>
        <v>8821.6506000000008</v>
      </c>
      <c r="RZ53" s="90">
        <f t="shared" si="289"/>
        <v>2728.1317945894925</v>
      </c>
      <c r="SA53" s="90">
        <f t="shared" si="290"/>
        <v>812.66207211046844</v>
      </c>
      <c r="SB53" s="90">
        <f t="shared" si="291"/>
        <v>812.66268969140378</v>
      </c>
      <c r="SC53" s="90">
        <f t="shared" si="292"/>
        <v>2728.1317945894925</v>
      </c>
      <c r="SD53" s="90">
        <f t="shared" si="293"/>
        <v>2728.1324121704279</v>
      </c>
      <c r="SE53" s="90">
        <f t="shared" si="294"/>
        <v>2728.1298781098403</v>
      </c>
      <c r="SF53" s="90">
        <f t="shared" si="295"/>
        <v>2718.9831039307201</v>
      </c>
      <c r="SG53" s="90">
        <f t="shared" si="296"/>
        <v>9.1486906587724661</v>
      </c>
      <c r="SH53" s="90">
        <f t="shared" si="297"/>
        <v>2728.1317940352001</v>
      </c>
      <c r="SI53" s="90">
        <f t="shared" si="298"/>
        <v>4.3804309765099996</v>
      </c>
      <c r="SJ53" s="100">
        <f t="shared" si="299"/>
        <v>4.3657403723999995</v>
      </c>
      <c r="SK53" s="100"/>
      <c r="SL53" s="100"/>
      <c r="SM53" s="90"/>
      <c r="SN53" s="90">
        <f t="shared" si="300"/>
        <v>2762.4899999999993</v>
      </c>
      <c r="SO53" s="90" t="e">
        <f>RU53-#REF!-#REF!-HZ53-LT53-LZ53-MF53-ML53-QL53-QN53-SD53</f>
        <v>#REF!</v>
      </c>
      <c r="SP53" s="90">
        <f t="shared" si="301"/>
        <v>2728.0799999999995</v>
      </c>
      <c r="SQ53" s="90">
        <f t="shared" si="302"/>
        <v>2877.3400000000015</v>
      </c>
      <c r="SR53" s="90">
        <f t="shared" si="303"/>
        <v>4.3803468208092475</v>
      </c>
      <c r="SS53" s="90">
        <f t="shared" si="304"/>
        <v>4.620006422607581</v>
      </c>
      <c r="ST53" s="90">
        <f t="shared" si="305"/>
        <v>2880.9360000000001</v>
      </c>
      <c r="SU53" s="90">
        <v>4.3803468208092475</v>
      </c>
      <c r="SV53" s="90">
        <f t="shared" si="306"/>
        <v>4.63</v>
      </c>
      <c r="SW53" s="90">
        <v>4.62</v>
      </c>
      <c r="SX53" s="90">
        <f t="shared" si="307"/>
        <v>2877.34</v>
      </c>
      <c r="SY53" s="90">
        <v>4.3804271034039806</v>
      </c>
      <c r="SZ53" s="90">
        <f t="shared" si="308"/>
        <v>2728.1299999999992</v>
      </c>
      <c r="TA53" s="90">
        <f t="shared" si="309"/>
        <v>4.9999999999727152E-2</v>
      </c>
      <c r="TB53" s="90">
        <v>0</v>
      </c>
      <c r="TC53" s="90">
        <f t="shared" si="310"/>
        <v>2374.4838000000004</v>
      </c>
      <c r="TD53" s="90" t="e">
        <f>#REF!+#REF!</f>
        <v>#REF!</v>
      </c>
      <c r="TE53" s="90" t="e">
        <f t="shared" si="311"/>
        <v>#REF!</v>
      </c>
      <c r="TF53" s="90">
        <v>2353.4838000000004</v>
      </c>
      <c r="TG53" s="90">
        <f t="shared" si="312"/>
        <v>26.185401183594827</v>
      </c>
      <c r="TH53" s="95"/>
      <c r="TI53" s="95"/>
      <c r="TJ53" s="95"/>
      <c r="TK53" s="95"/>
      <c r="TL53" s="95"/>
      <c r="TM53" s="95">
        <f t="shared" si="313"/>
        <v>0</v>
      </c>
      <c r="TN53" s="95">
        <f t="shared" si="314"/>
        <v>9067.9680000000008</v>
      </c>
      <c r="TO53" s="95">
        <f t="shared" si="315"/>
        <v>26.185401183594827</v>
      </c>
      <c r="TP53" s="95"/>
      <c r="TQ53" s="95">
        <f t="shared" si="316"/>
        <v>14.56</v>
      </c>
      <c r="TR53" s="95"/>
      <c r="TS53" s="95"/>
      <c r="TT53" s="95"/>
      <c r="TU53" s="95"/>
      <c r="TV53" s="95"/>
      <c r="TW53" s="95"/>
      <c r="TX53" s="95"/>
      <c r="TY53" s="95"/>
      <c r="TZ53" s="95">
        <f t="shared" si="317"/>
        <v>3.0666208791208787</v>
      </c>
      <c r="UA53" s="95">
        <f t="shared" si="318"/>
        <v>0.6406400000000001</v>
      </c>
      <c r="UB53" s="90">
        <v>0</v>
      </c>
      <c r="UC53" s="90">
        <f t="shared" si="319"/>
        <v>0</v>
      </c>
      <c r="UD53" s="90">
        <f t="shared" si="320"/>
        <v>0</v>
      </c>
      <c r="UE53" s="90">
        <f t="shared" si="321"/>
        <v>0</v>
      </c>
      <c r="UF53" s="90">
        <f t="shared" si="322"/>
        <v>9067.9680000000008</v>
      </c>
      <c r="UG53" s="91">
        <f t="shared" si="323"/>
        <v>0</v>
      </c>
      <c r="UH53" s="95">
        <f t="shared" si="324"/>
        <v>26.185401183594827</v>
      </c>
      <c r="UI53" s="95">
        <f t="shared" si="325"/>
        <v>9067.9680000000008</v>
      </c>
      <c r="UJ53" s="101">
        <f t="shared" si="326"/>
        <v>0</v>
      </c>
      <c r="UK53" s="101">
        <f t="shared" si="327"/>
        <v>26.185401183594827</v>
      </c>
      <c r="UL53" s="90" t="e">
        <f>(#REF!+#REF!+HZ53+LT53+LZ53+MF53+ML53+QL53+QN53+SN53+TC53+TM53+UC53)/I53</f>
        <v>#REF!</v>
      </c>
      <c r="UN53" s="90" t="e">
        <f>#REF!/I53</f>
        <v>#REF!</v>
      </c>
      <c r="UO53" s="90" t="e">
        <f>#REF!/I53</f>
        <v>#REF!</v>
      </c>
      <c r="UP53" s="90">
        <v>1.1499999999999999</v>
      </c>
      <c r="UQ53" s="90" t="e">
        <f t="shared" si="328"/>
        <v>#REF!</v>
      </c>
      <c r="UR53" s="90">
        <f t="shared" si="329"/>
        <v>7336.7200000000021</v>
      </c>
      <c r="US53" s="90">
        <f t="shared" si="330"/>
        <v>9400.909999999998</v>
      </c>
      <c r="UT53" s="90">
        <f t="shared" si="331"/>
        <v>9400.909999999998</v>
      </c>
      <c r="UU53" s="90">
        <f t="shared" si="516"/>
        <v>9687.3999999999978</v>
      </c>
      <c r="UV53" s="90">
        <f t="shared" si="333"/>
        <v>9653.989999999998</v>
      </c>
      <c r="UW53" s="90">
        <f t="shared" si="334"/>
        <v>7.09</v>
      </c>
      <c r="UX53" s="90">
        <f t="shared" si="335"/>
        <v>4.62</v>
      </c>
      <c r="UY53" s="90">
        <f t="shared" si="336"/>
        <v>4.4355973025048154</v>
      </c>
      <c r="UZ53" s="100">
        <f t="shared" si="337"/>
        <v>4.3804309765099996</v>
      </c>
      <c r="VA53" s="90">
        <f t="shared" si="338"/>
        <v>0.73</v>
      </c>
      <c r="VB53" s="90">
        <f t="shared" si="339"/>
        <v>1.74</v>
      </c>
      <c r="VC53" s="90">
        <f t="shared" si="340"/>
        <v>0</v>
      </c>
      <c r="VD53" s="90">
        <f t="shared" si="341"/>
        <v>0</v>
      </c>
      <c r="VE53" s="90">
        <f t="shared" si="342"/>
        <v>0</v>
      </c>
      <c r="VF53" s="90">
        <f t="shared" si="343"/>
        <v>0</v>
      </c>
      <c r="VG53" s="90">
        <f t="shared" si="344"/>
        <v>0</v>
      </c>
      <c r="VH53" s="90">
        <f t="shared" si="345"/>
        <v>0</v>
      </c>
      <c r="VI53" s="90">
        <f t="shared" si="346"/>
        <v>0</v>
      </c>
      <c r="VJ53" s="90">
        <f t="shared" si="347"/>
        <v>0</v>
      </c>
      <c r="VK53" s="90">
        <f t="shared" si="348"/>
        <v>0.93</v>
      </c>
      <c r="VL53" s="90">
        <f t="shared" si="349"/>
        <v>4.09</v>
      </c>
      <c r="VM53" s="90">
        <f t="shared" si="350"/>
        <v>3.62</v>
      </c>
      <c r="VN53" s="90">
        <f t="shared" si="351"/>
        <v>0</v>
      </c>
      <c r="VO53" s="90">
        <f t="shared" si="352"/>
        <v>3.62</v>
      </c>
      <c r="VP53" s="97">
        <v>0</v>
      </c>
      <c r="VQ53" s="97">
        <v>3.62</v>
      </c>
      <c r="VR53" s="90">
        <f t="shared" si="353"/>
        <v>0.44</v>
      </c>
      <c r="VS53" s="90">
        <f t="shared" si="354"/>
        <v>0.15</v>
      </c>
      <c r="VT53" s="90">
        <v>0.11989898989898991</v>
      </c>
      <c r="VU53" s="90">
        <f t="shared" si="355"/>
        <v>0.15390000000000001</v>
      </c>
      <c r="VV53" s="90">
        <v>0.38175323599898991</v>
      </c>
      <c r="VW53" s="90">
        <f t="shared" si="356"/>
        <v>0.59</v>
      </c>
      <c r="VX53" s="90">
        <f t="shared" si="357"/>
        <v>15.39</v>
      </c>
      <c r="VY53" s="90">
        <f t="shared" si="358"/>
        <v>15.39</v>
      </c>
      <c r="VZ53" s="90">
        <f t="shared" si="359"/>
        <v>0</v>
      </c>
      <c r="WA53" s="90"/>
      <c r="WB53" s="90">
        <f t="shared" si="360"/>
        <v>15.39</v>
      </c>
      <c r="WC53" s="90">
        <f t="shared" si="361"/>
        <v>0</v>
      </c>
      <c r="WD53" s="90"/>
      <c r="WE53" s="90">
        <v>15.39</v>
      </c>
      <c r="WF53" s="90"/>
      <c r="WG53" s="90">
        <f t="shared" si="362"/>
        <v>9584.8920000000016</v>
      </c>
      <c r="WH53" s="90">
        <f t="shared" si="363"/>
        <v>9584.8920000000016</v>
      </c>
      <c r="WI53" s="90">
        <f t="shared" si="364"/>
        <v>9591.26</v>
      </c>
      <c r="WJ53" s="90">
        <f t="shared" si="365"/>
        <v>7336.7200000000021</v>
      </c>
      <c r="WK53" s="97">
        <v>2254.54</v>
      </c>
      <c r="WL53" s="97">
        <v>3.62</v>
      </c>
      <c r="WM53" s="90">
        <f t="shared" si="366"/>
        <v>2254.54</v>
      </c>
      <c r="WN53" s="90">
        <f t="shared" si="367"/>
        <v>3.62</v>
      </c>
      <c r="WO53" s="90"/>
      <c r="WP53" s="97">
        <v>15.39</v>
      </c>
      <c r="WQ53" s="90">
        <f t="shared" si="368"/>
        <v>15.39</v>
      </c>
      <c r="WR53" s="91">
        <f t="shared" si="369"/>
        <v>105.70054945054946</v>
      </c>
      <c r="WS53" s="91">
        <f t="shared" si="370"/>
        <v>105.70054945054946</v>
      </c>
      <c r="WT53" s="90">
        <f t="shared" si="371"/>
        <v>9584.89</v>
      </c>
      <c r="WU53" s="90">
        <f t="shared" si="372"/>
        <v>9591.26</v>
      </c>
      <c r="WV53" s="90">
        <f t="shared" si="373"/>
        <v>-6.3700000000008004</v>
      </c>
      <c r="WW53" s="90"/>
      <c r="WX53" s="90"/>
      <c r="WY53" s="90"/>
      <c r="WZ53" s="90">
        <f t="shared" si="374"/>
        <v>3.5928454545454538</v>
      </c>
      <c r="XA53" s="90">
        <v>0</v>
      </c>
      <c r="XB53" s="90">
        <f t="shared" si="375"/>
        <v>3.5928454545454538</v>
      </c>
      <c r="XC53" s="90">
        <f t="shared" si="376"/>
        <v>0.4617</v>
      </c>
      <c r="XD53" s="90">
        <f t="shared" si="377"/>
        <v>0.15545454545454546</v>
      </c>
      <c r="XE53" s="90"/>
      <c r="XF53" s="90">
        <f t="shared" si="378"/>
        <v>15.39</v>
      </c>
      <c r="XG53" s="90">
        <v>3.7788757225433529</v>
      </c>
      <c r="XH53" s="20">
        <v>14.56</v>
      </c>
      <c r="XI53" s="20">
        <v>0</v>
      </c>
      <c r="XJ53" s="20"/>
      <c r="XK53" s="20"/>
      <c r="XL53" s="20"/>
      <c r="XM53" s="20">
        <f t="shared" si="379"/>
        <v>14.56</v>
      </c>
      <c r="XN53" s="91">
        <f t="shared" si="380"/>
        <v>105.70054945054946</v>
      </c>
      <c r="XO53" s="20">
        <f t="shared" si="381"/>
        <v>14.56</v>
      </c>
      <c r="XP53" s="90">
        <f t="shared" si="382"/>
        <v>14.56</v>
      </c>
      <c r="XQ53" s="91">
        <f t="shared" si="383"/>
        <v>105.70054945054946</v>
      </c>
      <c r="XR53" s="102"/>
      <c r="XS53" s="90">
        <f t="shared" si="384"/>
        <v>4.09</v>
      </c>
      <c r="XT53" s="90">
        <f t="shared" si="385"/>
        <v>7.09</v>
      </c>
      <c r="XU53" s="90">
        <f t="shared" si="386"/>
        <v>4.62</v>
      </c>
      <c r="XV53" s="90">
        <f t="shared" si="387"/>
        <v>0.73</v>
      </c>
      <c r="XW53" s="90">
        <f t="shared" si="388"/>
        <v>0.73</v>
      </c>
      <c r="XX53" s="90">
        <f t="shared" si="389"/>
        <v>0</v>
      </c>
      <c r="XY53" s="90">
        <f t="shared" si="390"/>
        <v>1.74</v>
      </c>
      <c r="XZ53" s="90">
        <f t="shared" si="391"/>
        <v>0</v>
      </c>
      <c r="YA53" s="90">
        <f t="shared" si="392"/>
        <v>0</v>
      </c>
      <c r="YB53" s="90">
        <f t="shared" si="552"/>
        <v>0</v>
      </c>
      <c r="YC53" s="90">
        <f t="shared" si="552"/>
        <v>0</v>
      </c>
      <c r="YD53" s="90">
        <f t="shared" si="394"/>
        <v>1.74</v>
      </c>
      <c r="YE53" s="90">
        <f t="shared" si="395"/>
        <v>3.62</v>
      </c>
      <c r="YF53" s="90">
        <f t="shared" si="396"/>
        <v>0.59</v>
      </c>
      <c r="YG53" s="90">
        <f t="shared" si="397"/>
        <v>15.39</v>
      </c>
      <c r="YI53" s="103" t="s">
        <v>442</v>
      </c>
      <c r="YK53" s="90">
        <f t="shared" si="398"/>
        <v>1.07</v>
      </c>
      <c r="YL53" s="90">
        <f t="shared" si="553"/>
        <v>0.73</v>
      </c>
      <c r="YM53" s="90">
        <f t="shared" si="553"/>
        <v>1.74</v>
      </c>
      <c r="YN53" s="90">
        <f t="shared" si="400"/>
        <v>4.09</v>
      </c>
      <c r="YO53" s="90">
        <f t="shared" si="401"/>
        <v>7.76</v>
      </c>
      <c r="YP53" s="90">
        <f t="shared" si="402"/>
        <v>0</v>
      </c>
      <c r="YQ53" s="90">
        <f t="shared" si="403"/>
        <v>15.39</v>
      </c>
      <c r="YR53" s="90">
        <f t="shared" si="404"/>
        <v>0</v>
      </c>
      <c r="YS53" s="104">
        <f t="shared" si="405"/>
        <v>15.39</v>
      </c>
      <c r="YT53" s="104">
        <f t="shared" si="406"/>
        <v>0</v>
      </c>
      <c r="YY53" s="90">
        <f t="shared" si="407"/>
        <v>9.5300000000000011</v>
      </c>
      <c r="YZ53" s="90">
        <f t="shared" si="408"/>
        <v>4.9800000000000004</v>
      </c>
      <c r="ZA53" s="90">
        <f t="shared" si="409"/>
        <v>0.78</v>
      </c>
      <c r="ZB53" s="90">
        <f t="shared" si="410"/>
        <v>3.77</v>
      </c>
      <c r="ZC53" s="90">
        <f t="shared" si="411"/>
        <v>0</v>
      </c>
      <c r="ZD53" s="90">
        <f t="shared" si="412"/>
        <v>0</v>
      </c>
      <c r="ZE53" s="90">
        <f t="shared" si="413"/>
        <v>0</v>
      </c>
      <c r="ZF53" s="90">
        <f t="shared" si="414"/>
        <v>0</v>
      </c>
      <c r="ZG53" s="90">
        <f t="shared" si="415"/>
        <v>0</v>
      </c>
      <c r="ZH53" s="90">
        <f t="shared" si="416"/>
        <v>0</v>
      </c>
      <c r="ZI53" s="90">
        <f t="shared" si="417"/>
        <v>0</v>
      </c>
      <c r="ZJ53" s="90">
        <f t="shared" si="418"/>
        <v>0</v>
      </c>
      <c r="ZK53" s="90">
        <f t="shared" si="419"/>
        <v>0</v>
      </c>
      <c r="ZL53" s="90">
        <f t="shared" si="420"/>
        <v>0</v>
      </c>
      <c r="ZM53" s="90">
        <f t="shared" si="421"/>
        <v>4.6100000000000003</v>
      </c>
      <c r="ZN53" s="90">
        <f t="shared" si="422"/>
        <v>12.49</v>
      </c>
      <c r="ZO53" s="90">
        <f t="shared" si="423"/>
        <v>5.36</v>
      </c>
      <c r="ZP53" s="90">
        <f t="shared" si="424"/>
        <v>8.7200000000000006</v>
      </c>
      <c r="ZQ53" s="90">
        <f t="shared" si="425"/>
        <v>0</v>
      </c>
      <c r="ZR53" s="90">
        <f t="shared" si="426"/>
        <v>8.7200000000000006</v>
      </c>
      <c r="ZS53" s="97">
        <v>227</v>
      </c>
      <c r="ZT53" s="97">
        <v>230.38</v>
      </c>
      <c r="ZU53" s="90">
        <f t="shared" si="427"/>
        <v>0.71</v>
      </c>
      <c r="ZV53" s="90">
        <f t="shared" si="428"/>
        <v>0.25</v>
      </c>
      <c r="ZW53" s="90">
        <v>0.11989898989898991</v>
      </c>
      <c r="ZX53" s="90">
        <f t="shared" si="429"/>
        <v>0.2382</v>
      </c>
      <c r="ZY53" s="90">
        <v>0.38175323599898991</v>
      </c>
      <c r="ZZ53" s="90">
        <f t="shared" si="430"/>
        <v>0.96</v>
      </c>
      <c r="AAA53" s="90">
        <f t="shared" si="431"/>
        <v>23.82</v>
      </c>
      <c r="AAB53" s="90">
        <f t="shared" si="432"/>
        <v>23.82</v>
      </c>
      <c r="AAC53" s="90">
        <f t="shared" si="433"/>
        <v>0</v>
      </c>
      <c r="AAD53" s="90"/>
      <c r="AAE53" s="90">
        <f t="shared" si="434"/>
        <v>23.82</v>
      </c>
      <c r="AAF53" s="90">
        <v>15.39</v>
      </c>
      <c r="AAG53" s="90">
        <f t="shared" si="435"/>
        <v>154.77582846003898</v>
      </c>
      <c r="AAH53" s="90">
        <f t="shared" si="436"/>
        <v>0</v>
      </c>
      <c r="AAI53" s="90">
        <v>0</v>
      </c>
      <c r="AAJ53" s="90"/>
      <c r="AAK53" s="1">
        <v>18.88</v>
      </c>
      <c r="AAL53" s="104">
        <f t="shared" si="437"/>
        <v>4.9400000000000013</v>
      </c>
      <c r="AAM53" s="103" t="s">
        <v>440</v>
      </c>
      <c r="AAN53" s="105">
        <v>9.59</v>
      </c>
      <c r="AAO53" s="90">
        <f t="shared" si="438"/>
        <v>10.4</v>
      </c>
      <c r="AAP53" s="90">
        <v>4.97</v>
      </c>
      <c r="AAQ53" s="90">
        <f t="shared" si="439"/>
        <v>4.9800000000000004</v>
      </c>
      <c r="AAR53" s="90">
        <v>0.78</v>
      </c>
      <c r="AAS53" s="90">
        <f t="shared" si="440"/>
        <v>1.19</v>
      </c>
      <c r="AAT53" s="90">
        <f t="shared" si="441"/>
        <v>152.56410256410254</v>
      </c>
      <c r="AAU53" s="90">
        <v>3.84</v>
      </c>
      <c r="AAV53" s="90">
        <f t="shared" si="442"/>
        <v>3.77</v>
      </c>
      <c r="AAW53" s="90">
        <f t="shared" si="443"/>
        <v>98.177083333333343</v>
      </c>
      <c r="AAX53" s="90">
        <f t="shared" si="444"/>
        <v>0.46</v>
      </c>
      <c r="AAY53" s="90">
        <f t="shared" si="445"/>
        <v>0</v>
      </c>
      <c r="AAZ53" s="90">
        <f t="shared" si="446"/>
        <v>0</v>
      </c>
      <c r="ABA53" s="90">
        <f t="shared" si="447"/>
        <v>0</v>
      </c>
      <c r="ABB53" s="90">
        <f t="shared" si="448"/>
        <v>0</v>
      </c>
      <c r="ABC53" s="90">
        <v>0</v>
      </c>
      <c r="ABD53" s="90">
        <f t="shared" si="449"/>
        <v>0</v>
      </c>
      <c r="ABE53" s="90"/>
      <c r="ABF53" s="90">
        <v>0</v>
      </c>
      <c r="ABG53" s="90">
        <f t="shared" si="450"/>
        <v>0</v>
      </c>
      <c r="ABH53" s="90"/>
      <c r="ABI53" s="90">
        <f t="shared" si="451"/>
        <v>0</v>
      </c>
      <c r="ABJ53" s="90">
        <f t="shared" si="452"/>
        <v>0</v>
      </c>
      <c r="ABK53" s="90">
        <v>0</v>
      </c>
      <c r="ABL53" s="90">
        <f t="shared" si="453"/>
        <v>0</v>
      </c>
      <c r="ABM53" s="90">
        <f t="shared" si="454"/>
        <v>0</v>
      </c>
      <c r="ABN53" s="90">
        <f t="shared" si="455"/>
        <v>0</v>
      </c>
      <c r="ABO53" s="90">
        <v>4.3899999999999997</v>
      </c>
      <c r="ABP53" s="90">
        <f t="shared" si="456"/>
        <v>4.6100000000000003</v>
      </c>
      <c r="ABQ53" s="90">
        <f t="shared" si="457"/>
        <v>105.01138952164011</v>
      </c>
      <c r="ABR53" s="90">
        <f t="shared" si="458"/>
        <v>12.49</v>
      </c>
      <c r="ABS53" s="90">
        <f t="shared" si="459"/>
        <v>5.36</v>
      </c>
      <c r="ABT53" s="90">
        <v>7.72</v>
      </c>
      <c r="ABU53" s="90">
        <f t="shared" si="460"/>
        <v>8.7200000000000006</v>
      </c>
      <c r="ABV53" s="90">
        <f t="shared" si="461"/>
        <v>112.95336787564767</v>
      </c>
      <c r="ABW53" s="90">
        <f t="shared" si="462"/>
        <v>0</v>
      </c>
      <c r="ABX53" s="90">
        <f t="shared" si="463"/>
        <v>8.7200000000000006</v>
      </c>
      <c r="ABY53" s="97">
        <v>227</v>
      </c>
      <c r="ABZ53" s="97">
        <v>230.38</v>
      </c>
      <c r="ACA53" s="90">
        <f t="shared" si="464"/>
        <v>0.71</v>
      </c>
      <c r="ACB53" s="90">
        <f t="shared" si="465"/>
        <v>0.25</v>
      </c>
      <c r="ACC53" s="90">
        <v>0.11989898989898991</v>
      </c>
      <c r="ACD53" s="90">
        <f t="shared" si="466"/>
        <v>0.24230000000000004</v>
      </c>
      <c r="ACE53" s="90">
        <v>0.38175323599898991</v>
      </c>
      <c r="ACF53" s="90">
        <v>0.88</v>
      </c>
      <c r="ACG53" s="90">
        <f t="shared" si="467"/>
        <v>0.96</v>
      </c>
      <c r="ACH53" s="90">
        <f t="shared" si="468"/>
        <v>109.09090909090908</v>
      </c>
      <c r="ACI53" s="90">
        <f t="shared" si="469"/>
        <v>24.690000000000005</v>
      </c>
      <c r="ACJ53" s="90">
        <f t="shared" si="470"/>
        <v>24.230000000000004</v>
      </c>
      <c r="ACK53" s="90">
        <f t="shared" si="471"/>
        <v>-0.46000000000000085</v>
      </c>
      <c r="ACL53" s="90"/>
      <c r="ACM53" s="90">
        <f t="shared" si="472"/>
        <v>24.690000000000005</v>
      </c>
      <c r="ACN53" s="90">
        <f t="shared" si="473"/>
        <v>0</v>
      </c>
      <c r="ACO53" s="90">
        <f t="shared" si="474"/>
        <v>24.690000000000005</v>
      </c>
      <c r="ACP53" s="90">
        <v>22.58</v>
      </c>
      <c r="ACQ53" s="90">
        <f t="shared" si="475"/>
        <v>109.34455270150578</v>
      </c>
      <c r="ACR53" s="90">
        <f t="shared" si="476"/>
        <v>0</v>
      </c>
      <c r="ACS53" s="90">
        <v>0</v>
      </c>
      <c r="ACT53" s="90"/>
      <c r="ACU53" s="90">
        <f t="shared" si="477"/>
        <v>23.731579999999997</v>
      </c>
      <c r="ACV53" s="90">
        <f t="shared" si="478"/>
        <v>-0.95842000000000738</v>
      </c>
      <c r="ACX53" s="106" t="s">
        <v>555</v>
      </c>
      <c r="ACY53" s="107">
        <v>12500</v>
      </c>
      <c r="ACZ53" s="107"/>
      <c r="ADB53" s="90">
        <f t="shared" si="479"/>
        <v>4.6100000000000003</v>
      </c>
      <c r="ADC53" s="90">
        <f t="shared" si="480"/>
        <v>10.4</v>
      </c>
      <c r="ADD53" s="90">
        <f t="shared" si="481"/>
        <v>4.9800000000000004</v>
      </c>
      <c r="ADE53" s="90">
        <f t="shared" si="517"/>
        <v>1.65</v>
      </c>
      <c r="ADF53" s="90">
        <f t="shared" si="483"/>
        <v>1.19</v>
      </c>
      <c r="ADG53" s="90">
        <f t="shared" si="554"/>
        <v>0.46</v>
      </c>
      <c r="ADH53" s="90">
        <f t="shared" si="554"/>
        <v>0</v>
      </c>
      <c r="ADI53" s="90">
        <f t="shared" si="554"/>
        <v>0</v>
      </c>
      <c r="ADJ53" s="90">
        <f t="shared" si="485"/>
        <v>3.77</v>
      </c>
      <c r="ADK53" s="90">
        <f t="shared" si="486"/>
        <v>0</v>
      </c>
      <c r="ADL53" s="90">
        <f t="shared" si="487"/>
        <v>0</v>
      </c>
      <c r="ADM53" s="90">
        <f t="shared" si="555"/>
        <v>0</v>
      </c>
      <c r="ADN53" s="90">
        <f t="shared" si="555"/>
        <v>0</v>
      </c>
      <c r="ADO53" s="90">
        <f t="shared" si="489"/>
        <v>3.77</v>
      </c>
      <c r="ADP53" s="90">
        <f t="shared" si="490"/>
        <v>8.7200000000000006</v>
      </c>
      <c r="ADQ53" s="90">
        <f t="shared" si="491"/>
        <v>0.96</v>
      </c>
      <c r="ADR53" s="90">
        <f t="shared" si="492"/>
        <v>24.690000000000005</v>
      </c>
      <c r="ADU53" s="90">
        <f t="shared" si="493"/>
        <v>1.1499999999999999</v>
      </c>
      <c r="ADV53" s="90">
        <f t="shared" si="494"/>
        <v>1.19</v>
      </c>
      <c r="ADW53" s="90">
        <f t="shared" si="495"/>
        <v>3.77</v>
      </c>
      <c r="ADX53" s="90">
        <f t="shared" si="496"/>
        <v>4.6100000000000003</v>
      </c>
      <c r="ADY53" s="90">
        <f t="shared" si="497"/>
        <v>13.510000000000002</v>
      </c>
      <c r="ADZ53" s="90">
        <f t="shared" si="498"/>
        <v>0</v>
      </c>
      <c r="AEA53" s="90">
        <f t="shared" si="499"/>
        <v>24.690000000000005</v>
      </c>
      <c r="AEB53" s="90">
        <f t="shared" si="500"/>
        <v>0</v>
      </c>
      <c r="AEC53" s="104">
        <f t="shared" si="501"/>
        <v>24.23</v>
      </c>
      <c r="AED53" s="104">
        <f t="shared" si="502"/>
        <v>0.46000000000000441</v>
      </c>
      <c r="AEG53" s="1">
        <v>9.59</v>
      </c>
      <c r="AEH53" s="1">
        <v>4.97</v>
      </c>
      <c r="AEI53" s="1">
        <v>0.78</v>
      </c>
      <c r="AEJ53" s="1">
        <v>3.84</v>
      </c>
      <c r="AEK53" s="1">
        <v>0</v>
      </c>
      <c r="AEL53" s="1">
        <v>0</v>
      </c>
      <c r="AEM53" s="1">
        <v>0</v>
      </c>
      <c r="AEN53" s="1">
        <v>0</v>
      </c>
      <c r="AEO53" s="1">
        <v>0</v>
      </c>
      <c r="AEP53" s="1">
        <v>0</v>
      </c>
      <c r="AEQ53" s="1">
        <v>0</v>
      </c>
      <c r="AER53" s="1">
        <v>0</v>
      </c>
      <c r="AES53" s="1">
        <v>0</v>
      </c>
      <c r="AET53" s="1">
        <v>0</v>
      </c>
      <c r="AEU53" s="1">
        <v>0</v>
      </c>
      <c r="AEV53" s="1">
        <v>0</v>
      </c>
      <c r="AEW53" s="1">
        <v>4.3899999999999997</v>
      </c>
      <c r="AEX53" s="1">
        <v>11.559999999999999</v>
      </c>
      <c r="AEY53" s="1">
        <v>5.36</v>
      </c>
      <c r="AEZ53" s="1">
        <v>7.72</v>
      </c>
      <c r="AFA53" s="1">
        <v>0</v>
      </c>
      <c r="AFB53" s="1">
        <v>7.72</v>
      </c>
      <c r="AFC53" s="1">
        <v>227</v>
      </c>
      <c r="AFD53" s="1">
        <v>230.38</v>
      </c>
      <c r="AFE53" s="1">
        <v>0.65</v>
      </c>
      <c r="AFF53" s="1">
        <v>0.23</v>
      </c>
      <c r="AFG53" s="1">
        <v>0.11989898989898991</v>
      </c>
      <c r="AFH53" s="1">
        <v>0.2258</v>
      </c>
      <c r="AFI53" s="1">
        <v>0.38175323599898991</v>
      </c>
      <c r="AFJ53" s="1">
        <v>0.88</v>
      </c>
      <c r="AFK53" s="1">
        <v>22.58</v>
      </c>
      <c r="AFL53" s="1">
        <v>22.58</v>
      </c>
      <c r="AFM53" s="1">
        <v>0</v>
      </c>
      <c r="AFO53" s="1">
        <v>22.58</v>
      </c>
      <c r="AFP53" s="1">
        <v>0</v>
      </c>
      <c r="AFQ53" s="1">
        <v>22.58</v>
      </c>
      <c r="AFX53" s="1">
        <v>23.27</v>
      </c>
    </row>
    <row r="54" spans="1:856" s="1" customFormat="1" ht="63.75" customHeight="1">
      <c r="A54" s="88">
        <v>46</v>
      </c>
      <c r="B54" s="20"/>
      <c r="C54" s="89" t="s">
        <v>556</v>
      </c>
      <c r="D54" s="20"/>
      <c r="E54" s="20" t="s">
        <v>536</v>
      </c>
      <c r="F54" s="20" t="s">
        <v>537</v>
      </c>
      <c r="G54" s="20">
        <v>1.2</v>
      </c>
      <c r="H54" s="20">
        <v>927.9</v>
      </c>
      <c r="I54" s="20">
        <f>927.9+1.9-1.9</f>
        <v>927.9</v>
      </c>
      <c r="J54" s="20">
        <f t="shared" si="0"/>
        <v>1113.48</v>
      </c>
      <c r="K54" s="20">
        <v>18</v>
      </c>
      <c r="L54" s="20">
        <v>29</v>
      </c>
      <c r="M54" s="20">
        <v>36</v>
      </c>
      <c r="N54" s="20">
        <v>887.88</v>
      </c>
      <c r="O54" s="90">
        <f t="shared" si="1"/>
        <v>0.96</v>
      </c>
      <c r="P54" s="20">
        <v>3456</v>
      </c>
      <c r="Q54" s="90">
        <f t="shared" ref="Q54:Q60" si="613">P54/12</f>
        <v>288</v>
      </c>
      <c r="R54" s="90">
        <f t="shared" si="2"/>
        <v>0.31</v>
      </c>
      <c r="S54" s="20">
        <v>86</v>
      </c>
      <c r="T54" s="20">
        <v>2.6</v>
      </c>
      <c r="U54" s="20">
        <v>3.13</v>
      </c>
      <c r="V54" s="91">
        <f t="shared" si="3"/>
        <v>699.87</v>
      </c>
      <c r="W54" s="20">
        <v>2.1000000000000001E-2</v>
      </c>
      <c r="X54" s="20">
        <f t="shared" si="4"/>
        <v>33.42</v>
      </c>
      <c r="Y54" s="91">
        <f t="shared" si="5"/>
        <v>60.36</v>
      </c>
      <c r="Z54" s="20">
        <v>1.7999999999999999E-2</v>
      </c>
      <c r="AA54" s="20">
        <f t="shared" si="561"/>
        <v>171.12</v>
      </c>
      <c r="AB54" s="91">
        <f t="shared" si="562"/>
        <v>264.89</v>
      </c>
      <c r="AC54" s="91">
        <f t="shared" si="6"/>
        <v>1025.1199999999999</v>
      </c>
      <c r="AD54" s="90">
        <f t="shared" si="7"/>
        <v>1.1000000000000001</v>
      </c>
      <c r="AE54" s="92">
        <f t="shared" si="8"/>
        <v>12301.439999999999</v>
      </c>
      <c r="AF54" s="20">
        <v>35</v>
      </c>
      <c r="AG54" s="20">
        <v>30</v>
      </c>
      <c r="AH54" s="20">
        <v>30</v>
      </c>
      <c r="AI54" s="20">
        <v>26</v>
      </c>
      <c r="AJ54" s="20">
        <v>1.6</v>
      </c>
      <c r="AK54" s="90">
        <f t="shared" si="9"/>
        <v>4</v>
      </c>
      <c r="AL54" s="90">
        <v>391.01</v>
      </c>
      <c r="AM54" s="90">
        <f t="shared" si="10"/>
        <v>1564.04</v>
      </c>
      <c r="AN54" s="20">
        <v>33</v>
      </c>
      <c r="AO54" s="20">
        <v>28</v>
      </c>
      <c r="AP54" s="20">
        <v>35</v>
      </c>
      <c r="AQ54" s="20">
        <v>33</v>
      </c>
      <c r="AR54" s="20">
        <v>28</v>
      </c>
      <c r="AS54" s="20">
        <v>34</v>
      </c>
      <c r="AT54" s="20">
        <f t="shared" si="11"/>
        <v>5</v>
      </c>
      <c r="AU54" s="20">
        <v>1.6</v>
      </c>
      <c r="AV54" s="90">
        <f t="shared" si="12"/>
        <v>4.67</v>
      </c>
      <c r="AW54" s="90">
        <f t="shared" si="551"/>
        <v>188.88</v>
      </c>
      <c r="AX54" s="90">
        <v>856.26</v>
      </c>
      <c r="AY54" s="90">
        <f t="shared" si="14"/>
        <v>0.92</v>
      </c>
      <c r="AZ54" s="90">
        <f t="shared" si="15"/>
        <v>1824.71</v>
      </c>
      <c r="BA54" s="90">
        <f t="shared" si="16"/>
        <v>-968.45</v>
      </c>
      <c r="BB54" s="90">
        <v>856.26</v>
      </c>
      <c r="BC54" s="90">
        <v>0.92</v>
      </c>
      <c r="BD54" s="92">
        <f t="shared" si="17"/>
        <v>10275.119999999999</v>
      </c>
      <c r="BE54" s="90"/>
      <c r="BF54" s="90">
        <f t="shared" si="18"/>
        <v>0</v>
      </c>
      <c r="BG54" s="90">
        <v>391.01</v>
      </c>
      <c r="BH54" s="90">
        <f t="shared" si="19"/>
        <v>1826.02</v>
      </c>
      <c r="BI54" s="90">
        <f t="shared" si="20"/>
        <v>1.97</v>
      </c>
      <c r="BJ54" s="90">
        <f t="shared" si="21"/>
        <v>214.13043478260869</v>
      </c>
      <c r="BK54" s="90">
        <f t="shared" si="22"/>
        <v>1826.02</v>
      </c>
      <c r="BL54" s="90">
        <f t="shared" si="23"/>
        <v>1.97</v>
      </c>
      <c r="BM54" s="90"/>
      <c r="BN54" s="90">
        <f t="shared" si="24"/>
        <v>0</v>
      </c>
      <c r="BO54" s="90">
        <f t="shared" si="25"/>
        <v>1826.02</v>
      </c>
      <c r="BP54" s="90">
        <f t="shared" si="26"/>
        <v>1.9679060243560729</v>
      </c>
      <c r="BQ54" s="90"/>
      <c r="BR54" s="90">
        <f t="shared" si="27"/>
        <v>0</v>
      </c>
      <c r="BS54" s="90">
        <f t="shared" si="28"/>
        <v>1826.02</v>
      </c>
      <c r="BT54" s="90">
        <f t="shared" si="29"/>
        <v>1.9679060243560729</v>
      </c>
      <c r="BU54" s="90"/>
      <c r="BV54" s="93">
        <v>1.7027650000000001</v>
      </c>
      <c r="BW54" s="90">
        <f t="shared" si="30"/>
        <v>1579.9956435000001</v>
      </c>
      <c r="BX54" s="90">
        <f t="shared" si="31"/>
        <v>1674.7953821100002</v>
      </c>
      <c r="BY54" s="90"/>
      <c r="BZ54" s="90">
        <v>2167.0797365100002</v>
      </c>
      <c r="CA54" s="90">
        <v>0.37305430897000003</v>
      </c>
      <c r="CB54" s="90">
        <f t="shared" si="556"/>
        <v>346.15709329326302</v>
      </c>
      <c r="CC54" s="90">
        <v>0.37305430897000003</v>
      </c>
      <c r="CD54" s="90">
        <f t="shared" si="563"/>
        <v>346.15709329326302</v>
      </c>
      <c r="CE54" s="90">
        <f t="shared" si="564"/>
        <v>346.15709329326302</v>
      </c>
      <c r="CF54" s="90">
        <v>336.39595958026257</v>
      </c>
      <c r="CG54" s="90">
        <f>I54*0.361793891</f>
        <v>335.70855145889999</v>
      </c>
      <c r="CH54" s="90">
        <f t="shared" si="565"/>
        <v>335.71</v>
      </c>
      <c r="CI54" s="90">
        <f t="shared" si="601"/>
        <v>353.59755144672414</v>
      </c>
      <c r="CJ54" s="90">
        <f t="shared" si="36"/>
        <v>354.17</v>
      </c>
      <c r="CK54" s="90">
        <f t="shared" si="37"/>
        <v>381.48595275323669</v>
      </c>
      <c r="CL54" s="90">
        <f t="shared" si="38"/>
        <v>381.48595275323669</v>
      </c>
      <c r="CM54" s="94">
        <v>0.14899999999999999</v>
      </c>
      <c r="CN54" s="90">
        <f t="shared" si="39"/>
        <v>235.41935088150001</v>
      </c>
      <c r="CO54" s="90">
        <f t="shared" si="40"/>
        <v>249.54451193439002</v>
      </c>
      <c r="CP54" s="90">
        <v>322.89528150000001</v>
      </c>
      <c r="CQ54" s="90">
        <v>5.0232736819999999E-2</v>
      </c>
      <c r="CR54" s="90">
        <f t="shared" si="557"/>
        <v>46.610956495277996</v>
      </c>
      <c r="CS54" s="90">
        <v>5.0232736819999999E-2</v>
      </c>
      <c r="CT54" s="90">
        <f t="shared" si="566"/>
        <v>46.610956495277996</v>
      </c>
      <c r="CU54" s="90">
        <f t="shared" si="567"/>
        <v>46.610956495277996</v>
      </c>
      <c r="CV54" s="90">
        <f>I54*0.103779163</f>
        <v>96.296685347699992</v>
      </c>
      <c r="CW54" s="90">
        <f t="shared" si="568"/>
        <v>96.3</v>
      </c>
      <c r="CX54" s="90">
        <f t="shared" si="602"/>
        <v>101.43112866557307</v>
      </c>
      <c r="CY54" s="90">
        <f t="shared" si="45"/>
        <v>101.6</v>
      </c>
      <c r="CZ54" s="90">
        <f t="shared" si="46"/>
        <v>109.43104837549279</v>
      </c>
      <c r="DA54" s="90">
        <f t="shared" si="47"/>
        <v>109.43104837549279</v>
      </c>
      <c r="DB54" s="93">
        <v>1.1979820000000001</v>
      </c>
      <c r="DC54" s="90">
        <f t="shared" si="48"/>
        <v>1111.6074978000001</v>
      </c>
      <c r="DD54" s="90">
        <f t="shared" si="49"/>
        <v>1178.3039476680003</v>
      </c>
      <c r="DE54" s="90"/>
      <c r="DF54" s="90">
        <v>628.71211545762651</v>
      </c>
      <c r="DG54" s="90">
        <v>0.28219173505</v>
      </c>
      <c r="DH54" s="90">
        <f t="shared" si="558"/>
        <v>261.84571095289499</v>
      </c>
      <c r="DI54" s="90">
        <v>0.28219173505</v>
      </c>
      <c r="DJ54" s="90">
        <f t="shared" si="569"/>
        <v>261.84571095289499</v>
      </c>
      <c r="DK54" s="90">
        <f t="shared" si="570"/>
        <v>261.84571095289499</v>
      </c>
      <c r="DL54" s="90">
        <f>I54*0.228495796</f>
        <v>212.02124910839999</v>
      </c>
      <c r="DM54" s="90">
        <f t="shared" si="571"/>
        <v>212.02</v>
      </c>
      <c r="DN54" s="90">
        <f t="shared" si="603"/>
        <v>223.31700830399589</v>
      </c>
      <c r="DO54" s="90">
        <f t="shared" si="54"/>
        <v>223.68</v>
      </c>
      <c r="DP54" s="90">
        <f t="shared" si="55"/>
        <v>240.93012332888873</v>
      </c>
      <c r="DQ54" s="90">
        <f t="shared" si="56"/>
        <v>240.93012332888873</v>
      </c>
      <c r="DR54" s="93">
        <v>4.2594E-2</v>
      </c>
      <c r="DS54" s="90">
        <f t="shared" si="57"/>
        <v>39.522972599999996</v>
      </c>
      <c r="DT54" s="90">
        <f t="shared" si="58"/>
        <v>41.894350955999997</v>
      </c>
      <c r="DU54" s="90">
        <v>23.779932043413528</v>
      </c>
      <c r="DV54" s="90">
        <v>1.366632888E-2</v>
      </c>
      <c r="DW54" s="90">
        <f t="shared" si="559"/>
        <v>12.680986567751999</v>
      </c>
      <c r="DX54" s="90">
        <v>1.366632888E-2</v>
      </c>
      <c r="DY54" s="90">
        <f t="shared" si="572"/>
        <v>12.680986567751999</v>
      </c>
      <c r="DZ54" s="90">
        <f t="shared" si="573"/>
        <v>12.680986567751999</v>
      </c>
      <c r="EA54" s="90">
        <f t="shared" si="574"/>
        <v>12.68</v>
      </c>
      <c r="EB54" s="90">
        <f t="shared" si="604"/>
        <v>13.355625249007959</v>
      </c>
      <c r="EC54" s="90">
        <f t="shared" si="63"/>
        <v>13.38</v>
      </c>
      <c r="ED54" s="90">
        <f t="shared" si="64"/>
        <v>14.408989547261148</v>
      </c>
      <c r="EE54" s="90">
        <f t="shared" si="65"/>
        <v>14.408989547261148</v>
      </c>
      <c r="EF54" s="94">
        <v>0.85293354333000004</v>
      </c>
      <c r="EG54" s="90">
        <f t="shared" si="66"/>
        <v>949.72444182708841</v>
      </c>
      <c r="EH54" s="90">
        <f t="shared" si="67"/>
        <v>1006.7079083367138</v>
      </c>
      <c r="EI54" s="90">
        <v>812.96663509525558</v>
      </c>
      <c r="EJ54" s="90">
        <v>0.13912706999999999</v>
      </c>
      <c r="EK54" s="90">
        <f t="shared" si="595"/>
        <v>154.91520990359999</v>
      </c>
      <c r="EL54" s="90">
        <v>0.16695248382</v>
      </c>
      <c r="EM54" s="90">
        <f t="shared" si="575"/>
        <v>154.91520973657799</v>
      </c>
      <c r="EN54" s="90">
        <f t="shared" si="576"/>
        <v>154.91520973657799</v>
      </c>
      <c r="EO54" s="90">
        <f>J54*0.135381707</f>
        <v>150.74482311035999</v>
      </c>
      <c r="EP54" s="90">
        <f t="shared" si="577"/>
        <v>150.74</v>
      </c>
      <c r="EQ54" s="90">
        <f t="shared" si="605"/>
        <v>158.77184148544637</v>
      </c>
      <c r="ER54" s="90">
        <f t="shared" si="72"/>
        <v>159.03</v>
      </c>
      <c r="ES54" s="90">
        <f t="shared" si="73"/>
        <v>171.29424955474337</v>
      </c>
      <c r="ET54" s="90">
        <f t="shared" si="74"/>
        <v>171.29424955474337</v>
      </c>
      <c r="EU54" s="94">
        <v>0.14899999999999999</v>
      </c>
      <c r="EV54" s="90">
        <f t="shared" si="75"/>
        <v>141.50894183223616</v>
      </c>
      <c r="EW54" s="90">
        <f t="shared" si="76"/>
        <v>149.99947834217033</v>
      </c>
      <c r="EX54" s="90">
        <v>121.14818829883347</v>
      </c>
      <c r="EY54" s="90">
        <v>2.0730999999999999E-2</v>
      </c>
      <c r="EZ54" s="90">
        <f t="shared" si="596"/>
        <v>23.08355388</v>
      </c>
      <c r="FA54" s="90">
        <v>2.4876671749999999E-2</v>
      </c>
      <c r="FB54" s="90">
        <f t="shared" si="578"/>
        <v>23.083063716824999</v>
      </c>
      <c r="FC54" s="90">
        <f t="shared" si="579"/>
        <v>23.083063716824999</v>
      </c>
      <c r="FD54" s="90">
        <f>J54*0.041845299</f>
        <v>46.593903530520002</v>
      </c>
      <c r="FE54" s="90">
        <f t="shared" si="580"/>
        <v>46.59</v>
      </c>
      <c r="FF54" s="90">
        <f t="shared" si="606"/>
        <v>49.072443245369158</v>
      </c>
      <c r="FG54" s="90">
        <f t="shared" si="81"/>
        <v>49.15</v>
      </c>
      <c r="FH54" s="90">
        <f t="shared" si="82"/>
        <v>52.942809385401972</v>
      </c>
      <c r="FI54" s="90">
        <f t="shared" si="83"/>
        <v>52.942809385401972</v>
      </c>
      <c r="FJ54" s="93">
        <v>0.49981642240000002</v>
      </c>
      <c r="FK54" s="90">
        <f t="shared" si="84"/>
        <v>556.53559001395206</v>
      </c>
      <c r="FL54" s="90">
        <f t="shared" si="85"/>
        <v>589.92772541478917</v>
      </c>
      <c r="FM54" s="90">
        <v>448.44961252154263</v>
      </c>
      <c r="FN54" s="90">
        <v>8.9680701000000002E-2</v>
      </c>
      <c r="FO54" s="90">
        <f t="shared" si="597"/>
        <v>99.857666949480006</v>
      </c>
      <c r="FP54" s="90">
        <v>0.10761684168000001</v>
      </c>
      <c r="FQ54" s="90">
        <f t="shared" si="581"/>
        <v>99.857667394871996</v>
      </c>
      <c r="FR54" s="90">
        <f t="shared" si="582"/>
        <v>99.857667394871996</v>
      </c>
      <c r="FS54" s="90">
        <f>J54*0.069578257</f>
        <v>77.473997604360008</v>
      </c>
      <c r="FT54" s="90">
        <f t="shared" si="89"/>
        <v>81.19</v>
      </c>
      <c r="FU54" s="90">
        <f>J54*0.0818196</f>
        <v>91.104488208000006</v>
      </c>
      <c r="FV54" s="90">
        <f t="shared" si="583"/>
        <v>91.1</v>
      </c>
      <c r="FW54" s="90">
        <f t="shared" si="607"/>
        <v>95.954058374181798</v>
      </c>
      <c r="FX54" s="90">
        <f t="shared" si="91"/>
        <v>96.11</v>
      </c>
      <c r="FY54" s="90">
        <f t="shared" si="92"/>
        <v>103.5219990343447</v>
      </c>
      <c r="FZ54" s="90">
        <f t="shared" si="93"/>
        <v>103.5219990343447</v>
      </c>
      <c r="GA54" s="94">
        <v>1.352261642E-2</v>
      </c>
      <c r="GB54" s="90">
        <f t="shared" si="94"/>
        <v>15.057162931341599</v>
      </c>
      <c r="GC54" s="90">
        <f t="shared" si="95"/>
        <v>15.960592707222096</v>
      </c>
      <c r="GD54" s="90">
        <v>13.089957495624621</v>
      </c>
      <c r="GE54" s="90">
        <v>2.4269999999999999E-3</v>
      </c>
      <c r="GF54" s="90">
        <f t="shared" si="598"/>
        <v>2.7024159599999997</v>
      </c>
      <c r="GG54" s="90">
        <v>2.9119942899999999E-3</v>
      </c>
      <c r="GH54" s="90">
        <f t="shared" si="584"/>
        <v>2.7020395016909999</v>
      </c>
      <c r="GI54" s="90">
        <f t="shared" si="585"/>
        <v>2.7020395016909999</v>
      </c>
      <c r="GJ54" s="90">
        <f t="shared" si="586"/>
        <v>2.7</v>
      </c>
      <c r="GK54" s="90">
        <f t="shared" si="608"/>
        <v>2.8438634205300861</v>
      </c>
      <c r="GL54" s="90">
        <f t="shared" si="100"/>
        <v>2.85</v>
      </c>
      <c r="GM54" s="90">
        <f t="shared" si="101"/>
        <v>3.0681602348269013</v>
      </c>
      <c r="GN54" s="90">
        <f t="shared" si="102"/>
        <v>3.0681602348269013</v>
      </c>
      <c r="GO54" s="90">
        <v>3628.8</v>
      </c>
      <c r="GP54" s="90">
        <f t="shared" si="103"/>
        <v>302.40000000000003</v>
      </c>
      <c r="GQ54" s="90">
        <f>2381.4+554.4</f>
        <v>2935.8</v>
      </c>
      <c r="GR54" s="90">
        <f t="shared" si="104"/>
        <v>244.65</v>
      </c>
      <c r="GS54" s="90">
        <f t="shared" si="105"/>
        <v>547.05000000000007</v>
      </c>
      <c r="GT54" s="90">
        <f t="shared" si="106"/>
        <v>0.59</v>
      </c>
      <c r="GU54" s="90">
        <v>4145.04</v>
      </c>
      <c r="GV54" s="90">
        <f>2257.2+528.96</f>
        <v>2786.16</v>
      </c>
      <c r="GW54" s="90">
        <f t="shared" si="107"/>
        <v>577.6</v>
      </c>
      <c r="GX54" s="90">
        <f t="shared" si="108"/>
        <v>0.62</v>
      </c>
      <c r="GY54" s="90">
        <v>7407.72</v>
      </c>
      <c r="GZ54" s="90">
        <f>2400.84+565.44</f>
        <v>2966.28</v>
      </c>
      <c r="HA54" s="90">
        <f t="shared" si="109"/>
        <v>864.5</v>
      </c>
      <c r="HB54" s="90">
        <f t="shared" si="110"/>
        <v>0.93</v>
      </c>
      <c r="HC54" s="90">
        <v>7407.72</v>
      </c>
      <c r="HD54" s="90">
        <f>2400.84+565.44</f>
        <v>2966.28</v>
      </c>
      <c r="HE54" s="90">
        <f t="shared" si="111"/>
        <v>864.5</v>
      </c>
      <c r="HF54" s="90">
        <f t="shared" si="112"/>
        <v>0.93</v>
      </c>
      <c r="HG54" s="90"/>
      <c r="HH54" s="90"/>
      <c r="HI54" s="90">
        <v>0.96</v>
      </c>
      <c r="HJ54" s="90">
        <f t="shared" si="113"/>
        <v>890.78399999999999</v>
      </c>
      <c r="HK54" s="90">
        <f t="shared" si="114"/>
        <v>1.0099148615152496</v>
      </c>
      <c r="HL54" s="90">
        <f t="shared" si="587"/>
        <v>937.1</v>
      </c>
      <c r="HM54" s="90">
        <v>1.07</v>
      </c>
      <c r="HN54" s="90">
        <f t="shared" si="116"/>
        <v>992.85300000000007</v>
      </c>
      <c r="HO54" s="90">
        <v>1.1499999999999999</v>
      </c>
      <c r="HP54" s="90">
        <f t="shared" si="117"/>
        <v>1067.0899999999999</v>
      </c>
      <c r="HQ54" s="90">
        <v>1.1499999999999999</v>
      </c>
      <c r="HR54" s="90">
        <f t="shared" si="118"/>
        <v>1067.0899999999999</v>
      </c>
      <c r="HS54" s="90">
        <v>0.96</v>
      </c>
      <c r="HT54" s="90">
        <f t="shared" si="588"/>
        <v>890.78399999999999</v>
      </c>
      <c r="HU54" s="90" t="e">
        <f>HT54*#REF!</f>
        <v>#REF!</v>
      </c>
      <c r="HV54" s="90">
        <v>2.83</v>
      </c>
      <c r="HW54" s="20">
        <v>3.49</v>
      </c>
      <c r="HX54" s="90">
        <f t="shared" si="120"/>
        <v>3238.3710000000001</v>
      </c>
      <c r="HY54" s="90">
        <v>1.06</v>
      </c>
      <c r="HZ54" s="90">
        <f t="shared" si="121"/>
        <v>3432.6732600000005</v>
      </c>
      <c r="IA54" s="90">
        <f t="shared" si="122"/>
        <v>3.7</v>
      </c>
      <c r="IB54" s="90">
        <f t="shared" si="123"/>
        <v>3.88</v>
      </c>
      <c r="IC54" s="90">
        <f t="shared" si="124"/>
        <v>3600.252</v>
      </c>
      <c r="ID54" s="90">
        <f t="shared" si="125"/>
        <v>4.09</v>
      </c>
      <c r="IE54" s="90">
        <f t="shared" si="126"/>
        <v>3795.11</v>
      </c>
      <c r="IF54" s="90">
        <f t="shared" si="127"/>
        <v>4.09</v>
      </c>
      <c r="IG54" s="92">
        <f t="shared" si="128"/>
        <v>45541.32</v>
      </c>
      <c r="IH54" s="90">
        <v>4.3899999999999997</v>
      </c>
      <c r="II54" s="90">
        <f t="shared" si="129"/>
        <v>4.6100000000000003</v>
      </c>
      <c r="IJ54" s="90">
        <f t="shared" si="130"/>
        <v>4277.62</v>
      </c>
      <c r="IK54" s="90">
        <f t="shared" si="131"/>
        <v>4.6100000000000003</v>
      </c>
      <c r="IL54" s="90">
        <f t="shared" si="132"/>
        <v>4277.62</v>
      </c>
      <c r="IM54" s="90">
        <f t="shared" si="133"/>
        <v>4.6100000000000003</v>
      </c>
      <c r="IN54" s="90">
        <f t="shared" si="134"/>
        <v>4277.62</v>
      </c>
      <c r="IO54" s="90">
        <f t="shared" si="135"/>
        <v>4.6100000000000003</v>
      </c>
      <c r="IP54" s="93">
        <v>0.37052404126999999</v>
      </c>
      <c r="IQ54" s="90">
        <f t="shared" si="136"/>
        <v>412.57110947331961</v>
      </c>
      <c r="IR54" s="90">
        <f t="shared" si="137"/>
        <v>437.32537604171881</v>
      </c>
      <c r="IS54" s="90">
        <v>18121.54</v>
      </c>
      <c r="IT54" s="90">
        <v>509.05</v>
      </c>
      <c r="IU54" s="90"/>
      <c r="IV54" s="90">
        <v>220.79275823136445</v>
      </c>
      <c r="IW54" s="90">
        <v>1.575999989</v>
      </c>
      <c r="IX54" s="90">
        <f>$J54*IW54</f>
        <v>1754.84446775172</v>
      </c>
      <c r="IY54" s="90">
        <v>1.89119998663</v>
      </c>
      <c r="IZ54" s="90">
        <f t="shared" si="139"/>
        <v>1754.844467593977</v>
      </c>
      <c r="JA54" s="90">
        <f t="shared" si="589"/>
        <v>1708.45</v>
      </c>
      <c r="JB54" s="90">
        <f t="shared" si="609"/>
        <v>1799.4809114091206</v>
      </c>
      <c r="JC54" s="90">
        <f t="shared" si="141"/>
        <v>1802.41</v>
      </c>
      <c r="JD54" s="90">
        <f t="shared" si="142"/>
        <v>1941.4067974777847</v>
      </c>
      <c r="JE54" s="90">
        <f t="shared" si="143"/>
        <v>1941.4067974777847</v>
      </c>
      <c r="JF54" s="93">
        <v>4.2278943710000003E-2</v>
      </c>
      <c r="JG54" s="90">
        <f t="shared" si="144"/>
        <v>47.076758242210801</v>
      </c>
      <c r="JH54" s="90">
        <f t="shared" si="145"/>
        <v>49.901363736743448</v>
      </c>
      <c r="JI54" s="20">
        <v>101.71</v>
      </c>
      <c r="JJ54" s="90">
        <v>28.098638394419016</v>
      </c>
      <c r="JK54" s="90">
        <v>0.17965928</v>
      </c>
      <c r="JL54" s="90">
        <f>$J54*JK54</f>
        <v>200.0470150944</v>
      </c>
      <c r="JM54" s="90">
        <v>0.21559114040999999</v>
      </c>
      <c r="JN54" s="90">
        <f t="shared" si="147"/>
        <v>200.047019186439</v>
      </c>
      <c r="JO54" s="90">
        <f t="shared" si="590"/>
        <v>200.05</v>
      </c>
      <c r="JP54" s="90">
        <f t="shared" si="610"/>
        <v>210.7092138063125</v>
      </c>
      <c r="JQ54" s="90">
        <f t="shared" si="149"/>
        <v>211.05</v>
      </c>
      <c r="JR54" s="90">
        <f t="shared" si="150"/>
        <v>227.32794628782281</v>
      </c>
      <c r="JS54" s="90">
        <f t="shared" si="151"/>
        <v>227.32794628782281</v>
      </c>
      <c r="JT54" s="93">
        <v>7.3220517000000002E-3</v>
      </c>
      <c r="JU54" s="90">
        <f t="shared" si="152"/>
        <v>8.1529581269160012</v>
      </c>
      <c r="JV54" s="90">
        <f t="shared" si="591"/>
        <v>8.15</v>
      </c>
      <c r="JW54" s="90">
        <f t="shared" si="611"/>
        <v>8.5842543990074827</v>
      </c>
      <c r="JX54" s="90">
        <f t="shared" si="154"/>
        <v>8.6</v>
      </c>
      <c r="JY54" s="90">
        <f t="shared" si="155"/>
        <v>9.261298486607128</v>
      </c>
      <c r="JZ54" s="90">
        <f t="shared" si="156"/>
        <v>9.261298486607128</v>
      </c>
      <c r="KA54" s="90">
        <v>7.3220500000000001E-3</v>
      </c>
      <c r="KB54" s="90">
        <f t="shared" si="599"/>
        <v>8.1529562339999995</v>
      </c>
      <c r="KC54" s="90" t="e">
        <f>KB54*#REF!</f>
        <v>#REF!</v>
      </c>
      <c r="KD54" s="90">
        <v>17952.740000000002</v>
      </c>
      <c r="KE54" s="90">
        <v>22700.14</v>
      </c>
      <c r="KF54" s="90"/>
      <c r="KG54" s="90">
        <f t="shared" si="550"/>
        <v>1173.2727096810847</v>
      </c>
      <c r="KH54" s="90" t="e">
        <f>KG54/(BW54+#REF!)*(CB54+#REF!)</f>
        <v>#REF!</v>
      </c>
      <c r="KI54" s="90">
        <v>0.8</v>
      </c>
      <c r="KJ54" s="94"/>
      <c r="KK54" s="90">
        <f t="shared" si="159"/>
        <v>0</v>
      </c>
      <c r="KL54" s="93">
        <v>1.7272052</v>
      </c>
      <c r="KM54" s="90">
        <f t="shared" si="600"/>
        <v>1602.67370508</v>
      </c>
      <c r="KN54" s="90">
        <f t="shared" si="161"/>
        <v>1698.8341273848</v>
      </c>
      <c r="KO54" s="90" t="e">
        <f>BW54+CN54+DC54+DS54+EG54+EV54+FK54+GB54+#REF!+#REF!+HJ54+HX54+IQ54+JG54+JU54+KK54+KM54</f>
        <v>#REF!</v>
      </c>
      <c r="KP54" s="90">
        <v>1264.7879810362094</v>
      </c>
      <c r="KQ54" s="90">
        <v>0.28334929455000002</v>
      </c>
      <c r="KR54" s="90">
        <f t="shared" si="560"/>
        <v>262.91981041294503</v>
      </c>
      <c r="KS54" s="90">
        <v>0.28334929455000002</v>
      </c>
      <c r="KT54" s="90">
        <f t="shared" si="592"/>
        <v>262.91981041294503</v>
      </c>
      <c r="KU54" s="90">
        <f t="shared" si="593"/>
        <v>262.91981041294503</v>
      </c>
      <c r="KV54" s="90">
        <f t="shared" si="594"/>
        <v>262.92</v>
      </c>
      <c r="KW54" s="90">
        <f t="shared" si="612"/>
        <v>276.9291001947297</v>
      </c>
      <c r="KX54" s="90">
        <f t="shared" si="166"/>
        <v>277.38</v>
      </c>
      <c r="KY54" s="90">
        <f t="shared" si="167"/>
        <v>298.77062553358843</v>
      </c>
      <c r="KZ54" s="90">
        <f t="shared" si="168"/>
        <v>298.77062553358843</v>
      </c>
      <c r="LA54" s="90">
        <f t="shared" si="169"/>
        <v>4286.8999999999987</v>
      </c>
      <c r="LB54" s="90">
        <f t="shared" si="170"/>
        <v>4.62</v>
      </c>
      <c r="LC54" s="92">
        <f t="shared" si="171"/>
        <v>51442.799999999988</v>
      </c>
      <c r="LD54" s="92">
        <v>4.97</v>
      </c>
      <c r="LE54" s="92">
        <v>4611.66</v>
      </c>
      <c r="LF54" s="90">
        <f t="shared" si="172"/>
        <v>4.9800000000000004</v>
      </c>
      <c r="LG54" s="90">
        <f t="shared" si="173"/>
        <v>4620.9399999999996</v>
      </c>
      <c r="LH54" s="90">
        <f t="shared" si="174"/>
        <v>4608.4174999999987</v>
      </c>
      <c r="LI54" s="90">
        <f t="shared" si="175"/>
        <v>4.97</v>
      </c>
      <c r="LJ54" s="90">
        <f t="shared" si="176"/>
        <v>4620.9399999999996</v>
      </c>
      <c r="LK54" s="90">
        <f t="shared" si="177"/>
        <v>4.9800000000000004</v>
      </c>
      <c r="LL54" s="90">
        <f t="shared" si="178"/>
        <v>4620.9399999999996</v>
      </c>
      <c r="LM54" s="90">
        <f t="shared" si="179"/>
        <v>4.9800000000000004</v>
      </c>
      <c r="LN54" s="95">
        <v>0.46</v>
      </c>
      <c r="LO54" s="95">
        <f t="shared" si="180"/>
        <v>426.83</v>
      </c>
      <c r="LP54" s="95"/>
      <c r="LQ54" s="95">
        <f t="shared" si="181"/>
        <v>0</v>
      </c>
      <c r="LR54" s="90"/>
      <c r="LS54" s="90"/>
      <c r="LT54" s="90">
        <f t="shared" si="182"/>
        <v>0</v>
      </c>
      <c r="LU54" s="90"/>
      <c r="LV54" s="90">
        <f t="shared" si="183"/>
        <v>0</v>
      </c>
      <c r="LW54" s="90">
        <f t="shared" si="184"/>
        <v>0</v>
      </c>
      <c r="LX54" s="90"/>
      <c r="LY54" s="90"/>
      <c r="LZ54" s="90">
        <f t="shared" si="185"/>
        <v>0</v>
      </c>
      <c r="MA54" s="90"/>
      <c r="MB54" s="90">
        <f t="shared" si="186"/>
        <v>0</v>
      </c>
      <c r="MC54" s="90">
        <f t="shared" si="187"/>
        <v>0</v>
      </c>
      <c r="MD54" s="90"/>
      <c r="ME54" s="90"/>
      <c r="MF54" s="90">
        <f t="shared" si="188"/>
        <v>0</v>
      </c>
      <c r="MG54" s="90"/>
      <c r="MH54" s="90">
        <f t="shared" si="189"/>
        <v>0</v>
      </c>
      <c r="MI54" s="90">
        <f t="shared" si="190"/>
        <v>0</v>
      </c>
      <c r="MJ54" s="90"/>
      <c r="MK54" s="90"/>
      <c r="ML54" s="90">
        <f t="shared" si="191"/>
        <v>0</v>
      </c>
      <c r="MM54" s="90"/>
      <c r="MN54" s="90">
        <f t="shared" si="192"/>
        <v>0</v>
      </c>
      <c r="MO54" s="90">
        <f t="shared" si="193"/>
        <v>0</v>
      </c>
      <c r="MP54" s="90">
        <f t="shared" si="194"/>
        <v>0</v>
      </c>
      <c r="MQ54" s="90">
        <f t="shared" si="195"/>
        <v>0</v>
      </c>
      <c r="MR54" s="90">
        <f t="shared" si="196"/>
        <v>0</v>
      </c>
      <c r="MS54" s="90">
        <f t="shared" si="197"/>
        <v>0</v>
      </c>
      <c r="MT54" s="95"/>
      <c r="MU54" s="95">
        <f t="shared" si="198"/>
        <v>0</v>
      </c>
      <c r="MV54" s="92">
        <f t="shared" si="199"/>
        <v>0</v>
      </c>
      <c r="MW54" s="95"/>
      <c r="MX54" s="95">
        <f t="shared" si="200"/>
        <v>0</v>
      </c>
      <c r="MY54" s="95"/>
      <c r="MZ54" s="95">
        <f t="shared" si="201"/>
        <v>0</v>
      </c>
      <c r="NA54" s="95"/>
      <c r="NB54" s="95">
        <f t="shared" si="202"/>
        <v>0</v>
      </c>
      <c r="NC54" s="92">
        <f t="shared" si="203"/>
        <v>0</v>
      </c>
      <c r="ND54" s="95"/>
      <c r="NE54" s="95">
        <f t="shared" si="204"/>
        <v>0</v>
      </c>
      <c r="NF54" s="95"/>
      <c r="NG54" s="95">
        <f t="shared" si="205"/>
        <v>0</v>
      </c>
      <c r="NH54" s="95"/>
      <c r="NI54" s="95"/>
      <c r="NJ54" s="95">
        <f t="shared" si="206"/>
        <v>0</v>
      </c>
      <c r="NK54" s="92">
        <f t="shared" si="207"/>
        <v>0</v>
      </c>
      <c r="NL54" s="95"/>
      <c r="NM54" s="95">
        <f t="shared" si="208"/>
        <v>0</v>
      </c>
      <c r="NN54" s="95"/>
      <c r="NO54" s="95">
        <f t="shared" si="209"/>
        <v>0</v>
      </c>
      <c r="NP54" s="95"/>
      <c r="NQ54" s="95">
        <f t="shared" si="210"/>
        <v>0</v>
      </c>
      <c r="NR54" s="92">
        <f t="shared" si="211"/>
        <v>0</v>
      </c>
      <c r="NS54" s="95"/>
      <c r="NT54" s="95">
        <f t="shared" si="212"/>
        <v>0</v>
      </c>
      <c r="NU54" s="95"/>
      <c r="NV54" s="95">
        <f t="shared" si="213"/>
        <v>0</v>
      </c>
      <c r="NW54" s="95">
        <v>0.55000000000000004</v>
      </c>
      <c r="NX54" s="95">
        <f t="shared" si="214"/>
        <v>510.35</v>
      </c>
      <c r="NY54" s="92">
        <f t="shared" si="215"/>
        <v>6124.2000000000007</v>
      </c>
      <c r="NZ54" s="112">
        <v>0.55000000000000004</v>
      </c>
      <c r="OA54" s="95">
        <f t="shared" si="216"/>
        <v>510.35</v>
      </c>
      <c r="OB54" s="112">
        <v>0.53</v>
      </c>
      <c r="OC54" s="95">
        <f t="shared" si="217"/>
        <v>491.79</v>
      </c>
      <c r="OD54" s="90">
        <v>6272.6</v>
      </c>
      <c r="OE54" s="90">
        <f t="shared" si="218"/>
        <v>6.76</v>
      </c>
      <c r="OF54" s="92">
        <f t="shared" si="219"/>
        <v>75271.200000000012</v>
      </c>
      <c r="OG54" s="96">
        <v>856.26</v>
      </c>
      <c r="OH54" s="96">
        <v>0.92</v>
      </c>
      <c r="OI54" s="90">
        <v>10828.59</v>
      </c>
      <c r="OJ54" s="90">
        <f t="shared" si="220"/>
        <v>11.67</v>
      </c>
      <c r="OK54" s="90">
        <f t="shared" si="221"/>
        <v>7128.8600000000006</v>
      </c>
      <c r="OL54" s="90">
        <f t="shared" si="222"/>
        <v>7.68</v>
      </c>
      <c r="OM54" s="90">
        <f t="shared" si="223"/>
        <v>3.99</v>
      </c>
      <c r="ON54" s="111">
        <v>10828.59</v>
      </c>
      <c r="OO54" s="90">
        <f t="shared" si="224"/>
        <v>11.67</v>
      </c>
      <c r="OP54" s="90">
        <v>9972.33</v>
      </c>
      <c r="OQ54" s="90">
        <v>10.75</v>
      </c>
      <c r="OR54" s="90">
        <f t="shared" si="225"/>
        <v>0.91999999999999993</v>
      </c>
      <c r="OS54" s="90">
        <f t="shared" si="226"/>
        <v>10.75</v>
      </c>
      <c r="OT54" s="90">
        <v>10828.59</v>
      </c>
      <c r="OU54" s="90">
        <f t="shared" si="227"/>
        <v>11.67</v>
      </c>
      <c r="OV54" s="97">
        <v>9111.98</v>
      </c>
      <c r="OW54" s="90">
        <f>ROUND((I54*OY54),2)</f>
        <v>9111.98</v>
      </c>
      <c r="OX54" s="90">
        <f t="shared" si="229"/>
        <v>9.82</v>
      </c>
      <c r="OY54" s="90">
        <f>OU54-1-0.85</f>
        <v>9.82</v>
      </c>
      <c r="OZ54" s="90"/>
      <c r="PA54" s="90"/>
      <c r="PB54" s="95">
        <f t="shared" si="230"/>
        <v>0</v>
      </c>
      <c r="PC54" s="92">
        <f t="shared" si="231"/>
        <v>0</v>
      </c>
      <c r="PD54" s="90"/>
      <c r="PE54" s="95">
        <f t="shared" si="232"/>
        <v>0</v>
      </c>
      <c r="PF54" s="90">
        <f t="shared" si="233"/>
        <v>16268.27</v>
      </c>
      <c r="PG54" s="90">
        <f t="shared" si="234"/>
        <v>17.53</v>
      </c>
      <c r="PH54" s="90">
        <f t="shared" si="235"/>
        <v>21638.239999999998</v>
      </c>
      <c r="PI54" s="90">
        <f t="shared" si="236"/>
        <v>23.32</v>
      </c>
      <c r="PJ54" s="90">
        <f t="shared" si="237"/>
        <v>21638.239999999998</v>
      </c>
      <c r="PK54" s="90">
        <f t="shared" si="238"/>
        <v>23.32</v>
      </c>
      <c r="PL54" s="90"/>
      <c r="PM54" s="90">
        <f t="shared" si="239"/>
        <v>488.05</v>
      </c>
      <c r="PN54" s="90">
        <f t="shared" si="240"/>
        <v>0.53</v>
      </c>
      <c r="PO54" s="92">
        <f t="shared" si="241"/>
        <v>5856.6</v>
      </c>
      <c r="PP54" s="90">
        <f t="shared" si="242"/>
        <v>649.15</v>
      </c>
      <c r="PQ54" s="90">
        <f t="shared" si="243"/>
        <v>0.7</v>
      </c>
      <c r="PR54" s="90">
        <f t="shared" si="244"/>
        <v>649.15</v>
      </c>
      <c r="PS54" s="90">
        <f t="shared" si="245"/>
        <v>0.7</v>
      </c>
      <c r="PT54" s="90">
        <f t="shared" si="246"/>
        <v>16756.32</v>
      </c>
      <c r="PU54" s="90">
        <f t="shared" si="247"/>
        <v>18.059999999999999</v>
      </c>
      <c r="PV54" s="90">
        <f t="shared" si="248"/>
        <v>22287.39</v>
      </c>
      <c r="PW54" s="90">
        <f t="shared" si="249"/>
        <v>24.02</v>
      </c>
      <c r="PX54" s="90">
        <f t="shared" si="250"/>
        <v>22287.39</v>
      </c>
      <c r="PY54" s="90">
        <f t="shared" si="251"/>
        <v>24.02</v>
      </c>
      <c r="PZ54" s="90">
        <f t="shared" si="252"/>
        <v>169.26</v>
      </c>
      <c r="QA54" s="90">
        <f t="shared" si="253"/>
        <v>0.18</v>
      </c>
      <c r="QB54" s="92">
        <f t="shared" si="254"/>
        <v>2031.12</v>
      </c>
      <c r="QC54" s="90">
        <f t="shared" si="255"/>
        <v>225.13</v>
      </c>
      <c r="QD54" s="90">
        <f t="shared" si="256"/>
        <v>0.24</v>
      </c>
      <c r="QE54" s="90">
        <f t="shared" si="257"/>
        <v>225.13</v>
      </c>
      <c r="QF54" s="90">
        <f t="shared" si="258"/>
        <v>0.24</v>
      </c>
      <c r="QG54" s="90">
        <f t="shared" si="259"/>
        <v>16925.579999999998</v>
      </c>
      <c r="QH54" s="90">
        <f t="shared" si="260"/>
        <v>18.239999999999998</v>
      </c>
      <c r="QI54" s="92">
        <f t="shared" si="261"/>
        <v>203106.95999999996</v>
      </c>
      <c r="QJ54" s="90">
        <f t="shared" si="262"/>
        <v>295.16910019472971</v>
      </c>
      <c r="QK54" s="98">
        <f t="shared" si="263"/>
        <v>0.30089999999999995</v>
      </c>
      <c r="QL54" s="90">
        <f t="shared" si="264"/>
        <v>279.20510999999993</v>
      </c>
      <c r="QM54" s="90">
        <f t="shared" si="265"/>
        <v>0.14560000000000001</v>
      </c>
      <c r="QN54" s="90">
        <f t="shared" si="266"/>
        <v>135.10223999999999</v>
      </c>
      <c r="QO54" s="90">
        <v>0.26789999999999997</v>
      </c>
      <c r="QP54" s="90">
        <v>0.17860000000000001</v>
      </c>
      <c r="QQ54" s="97">
        <f t="shared" si="267"/>
        <v>414.30734999999993</v>
      </c>
      <c r="QR54" s="97">
        <v>415.15569999999991</v>
      </c>
      <c r="QS54" s="97">
        <f t="shared" si="268"/>
        <v>-0.84834999999998217</v>
      </c>
      <c r="QT54" s="90"/>
      <c r="QU54" s="90">
        <f t="shared" si="269"/>
        <v>0.14560000000000001</v>
      </c>
      <c r="QV54" s="90">
        <f t="shared" si="270"/>
        <v>135.10223999999999</v>
      </c>
      <c r="QW54" s="90">
        <f t="shared" si="271"/>
        <v>414.30734999999993</v>
      </c>
      <c r="QX54" s="90">
        <f t="shared" si="272"/>
        <v>0.44649999999999995</v>
      </c>
      <c r="QY54" s="90"/>
      <c r="QZ54" s="90"/>
      <c r="RA54" s="90"/>
      <c r="RB54" s="90">
        <v>4064.5100000000007</v>
      </c>
      <c r="RC54" s="97">
        <f t="shared" si="273"/>
        <v>16925.579999999998</v>
      </c>
      <c r="RD54" s="97">
        <f t="shared" si="274"/>
        <v>18.239999999999998</v>
      </c>
      <c r="RE54" s="90">
        <f t="shared" si="275"/>
        <v>22512.52</v>
      </c>
      <c r="RF54" s="90">
        <f t="shared" si="276"/>
        <v>24.26</v>
      </c>
      <c r="RG54" s="90">
        <f t="shared" si="277"/>
        <v>133.00438596491227</v>
      </c>
      <c r="RH54" s="90">
        <f t="shared" si="278"/>
        <v>22512.52</v>
      </c>
      <c r="RI54" s="90">
        <f t="shared" si="279"/>
        <v>24.26</v>
      </c>
      <c r="RJ54" s="90">
        <v>23.98</v>
      </c>
      <c r="RK54" s="90">
        <v>0</v>
      </c>
      <c r="RL54" s="90">
        <f t="shared" si="280"/>
        <v>0.28000000000000114</v>
      </c>
      <c r="RM54" s="90">
        <f t="shared" si="281"/>
        <v>105.02164502164504</v>
      </c>
      <c r="RN54" s="90">
        <f t="shared" si="282"/>
        <v>10208.039999999997</v>
      </c>
      <c r="RO54" s="90"/>
      <c r="RP54" s="90"/>
      <c r="RQ54" s="99">
        <v>3354</v>
      </c>
      <c r="RR54" s="90">
        <f t="shared" si="283"/>
        <v>10652.98</v>
      </c>
      <c r="RS54" s="90">
        <f t="shared" si="284"/>
        <v>11.480741459208966</v>
      </c>
      <c r="RT54" s="20">
        <v>14.56</v>
      </c>
      <c r="RU54" s="90">
        <f t="shared" si="285"/>
        <v>13510.224</v>
      </c>
      <c r="RV54" s="90">
        <f t="shared" si="286"/>
        <v>0.31810442956647239</v>
      </c>
      <c r="RW54" s="20">
        <v>13.49</v>
      </c>
      <c r="RX54" s="90">
        <f t="shared" si="287"/>
        <v>14.1645</v>
      </c>
      <c r="RY54" s="90">
        <f t="shared" si="288"/>
        <v>13143.23955</v>
      </c>
      <c r="RZ54" s="90">
        <f t="shared" si="289"/>
        <v>4064.6009829794307</v>
      </c>
      <c r="SA54" s="90">
        <f t="shared" si="290"/>
        <v>1210.7725380720985</v>
      </c>
      <c r="SB54" s="90">
        <f t="shared" si="291"/>
        <v>1210.7733985880013</v>
      </c>
      <c r="SC54" s="90">
        <f t="shared" si="292"/>
        <v>4064.6009829794307</v>
      </c>
      <c r="SD54" s="90">
        <f t="shared" si="293"/>
        <v>4064.6018434953335</v>
      </c>
      <c r="SE54" s="90">
        <f t="shared" si="294"/>
        <v>4064.5898328486196</v>
      </c>
      <c r="SF54" s="90">
        <f t="shared" si="295"/>
        <v>4051.6578996713229</v>
      </c>
      <c r="SG54" s="90">
        <f t="shared" si="296"/>
        <v>12.943083308107816</v>
      </c>
      <c r="SH54" s="90">
        <f t="shared" si="297"/>
        <v>4065.2883902749622</v>
      </c>
      <c r="SI54" s="90">
        <f t="shared" si="298"/>
        <v>4.3804309122700005</v>
      </c>
      <c r="SJ54" s="100">
        <f t="shared" si="299"/>
        <v>4.3664811937399755</v>
      </c>
      <c r="SK54" s="100"/>
      <c r="SL54" s="100"/>
      <c r="SM54" s="90"/>
      <c r="SN54" s="90">
        <f t="shared" si="300"/>
        <v>4115.79</v>
      </c>
      <c r="SO54" s="90" t="e">
        <f>RU54-#REF!-#REF!-HZ54-LT54-LZ54-MF54-ML54-QL54-QN54-SD54</f>
        <v>#REF!</v>
      </c>
      <c r="SP54" s="90">
        <f t="shared" si="301"/>
        <v>4064.5100000000007</v>
      </c>
      <c r="SQ54" s="90">
        <f t="shared" si="302"/>
        <v>4286.8999999999987</v>
      </c>
      <c r="SR54" s="90">
        <f t="shared" si="303"/>
        <v>4.3803319323202938</v>
      </c>
      <c r="SS54" s="90">
        <f t="shared" si="304"/>
        <v>4.6200021554046762</v>
      </c>
      <c r="ST54" s="90">
        <f t="shared" si="305"/>
        <v>4292.2629999999999</v>
      </c>
      <c r="SU54" s="90">
        <v>4.3803319323202938</v>
      </c>
      <c r="SV54" s="90">
        <f t="shared" si="306"/>
        <v>4.63</v>
      </c>
      <c r="SW54" s="90">
        <v>4.62</v>
      </c>
      <c r="SX54" s="90">
        <f t="shared" si="307"/>
        <v>4286.8999999999996</v>
      </c>
      <c r="SY54" s="90">
        <v>4.3804474080447413</v>
      </c>
      <c r="SZ54" s="90">
        <f t="shared" si="308"/>
        <v>4064.6171499247152</v>
      </c>
      <c r="TA54" s="90">
        <f t="shared" si="309"/>
        <v>0.10714992471457663</v>
      </c>
      <c r="TB54" s="90">
        <v>0</v>
      </c>
      <c r="TC54" s="90">
        <f t="shared" si="310"/>
        <v>4330.2446499999987</v>
      </c>
      <c r="TD54" s="90" t="e">
        <f>#REF!+#REF!</f>
        <v>#REF!</v>
      </c>
      <c r="TE54" s="90" t="e">
        <f t="shared" si="311"/>
        <v>#REF!</v>
      </c>
      <c r="TF54" s="90">
        <v>4255.2746499999994</v>
      </c>
      <c r="TG54" s="90">
        <f t="shared" si="312"/>
        <v>32.051612541731352</v>
      </c>
      <c r="TH54" s="95"/>
      <c r="TI54" s="95"/>
      <c r="TJ54" s="95"/>
      <c r="TK54" s="95"/>
      <c r="TL54" s="95"/>
      <c r="TM54" s="95">
        <f t="shared" si="313"/>
        <v>0</v>
      </c>
      <c r="TN54" s="95">
        <f t="shared" si="314"/>
        <v>13510.224</v>
      </c>
      <c r="TO54" s="95">
        <f t="shared" si="315"/>
        <v>32.051612541731352</v>
      </c>
      <c r="TP54" s="95"/>
      <c r="TQ54" s="95">
        <f t="shared" si="316"/>
        <v>14.56</v>
      </c>
      <c r="TR54" s="95"/>
      <c r="TS54" s="95"/>
      <c r="TT54" s="95"/>
      <c r="TU54" s="95"/>
      <c r="TV54" s="95"/>
      <c r="TW54" s="95"/>
      <c r="TX54" s="95"/>
      <c r="TY54" s="95"/>
      <c r="TZ54" s="95">
        <f t="shared" si="317"/>
        <v>3.0666208791208787</v>
      </c>
      <c r="UA54" s="95">
        <f t="shared" si="318"/>
        <v>0.6406400000000001</v>
      </c>
      <c r="UB54" s="90">
        <v>0</v>
      </c>
      <c r="UC54" s="90">
        <f t="shared" si="319"/>
        <v>0</v>
      </c>
      <c r="UD54" s="90">
        <f t="shared" si="320"/>
        <v>0</v>
      </c>
      <c r="UE54" s="90">
        <f t="shared" si="321"/>
        <v>0</v>
      </c>
      <c r="UF54" s="90">
        <f t="shared" si="322"/>
        <v>13510.224</v>
      </c>
      <c r="UG54" s="91">
        <f t="shared" si="323"/>
        <v>0</v>
      </c>
      <c r="UH54" s="95">
        <f t="shared" si="324"/>
        <v>32.051612541731352</v>
      </c>
      <c r="UI54" s="95">
        <f t="shared" si="325"/>
        <v>13510.224</v>
      </c>
      <c r="UJ54" s="101">
        <f t="shared" si="326"/>
        <v>0</v>
      </c>
      <c r="UK54" s="101">
        <f t="shared" si="327"/>
        <v>32.051612541731352</v>
      </c>
      <c r="UL54" s="90" t="e">
        <f>(#REF!+#REF!+HZ54+LT54+LZ54+MF54+ML54+QL54+QN54+SN54+TC54+TM54+UC54)/I54</f>
        <v>#REF!</v>
      </c>
      <c r="UN54" s="90" t="e">
        <f>#REF!/I54</f>
        <v>#REF!</v>
      </c>
      <c r="UO54" s="90" t="e">
        <f>#REF!/I54</f>
        <v>#REF!</v>
      </c>
      <c r="UP54" s="90">
        <v>1.1499999999999999</v>
      </c>
      <c r="UQ54" s="90" t="e">
        <f t="shared" si="328"/>
        <v>#REF!</v>
      </c>
      <c r="UR54" s="90">
        <f t="shared" si="329"/>
        <v>10652.98</v>
      </c>
      <c r="US54" s="90">
        <f t="shared" si="330"/>
        <v>12686.81</v>
      </c>
      <c r="UT54" s="90">
        <f t="shared" si="331"/>
        <v>12686.81</v>
      </c>
      <c r="UU54" s="90">
        <f t="shared" si="516"/>
        <v>13113.64</v>
      </c>
      <c r="UV54" s="90">
        <f t="shared" si="333"/>
        <v>12973.709999999997</v>
      </c>
      <c r="UW54" s="90">
        <f t="shared" si="334"/>
        <v>6.68</v>
      </c>
      <c r="UX54" s="90">
        <f t="shared" si="335"/>
        <v>4.62</v>
      </c>
      <c r="UY54" s="90">
        <f t="shared" si="336"/>
        <v>4.4355965082444229</v>
      </c>
      <c r="UZ54" s="100">
        <f t="shared" si="337"/>
        <v>4.3804309122700005</v>
      </c>
      <c r="VA54" s="90">
        <f t="shared" si="338"/>
        <v>0.59</v>
      </c>
      <c r="VB54" s="90">
        <f t="shared" si="339"/>
        <v>0.92</v>
      </c>
      <c r="VC54" s="90">
        <f t="shared" si="340"/>
        <v>0.55000000000000004</v>
      </c>
      <c r="VD54" s="90">
        <f t="shared" si="341"/>
        <v>0</v>
      </c>
      <c r="VE54" s="90">
        <f t="shared" si="342"/>
        <v>0</v>
      </c>
      <c r="VF54" s="90">
        <f t="shared" si="343"/>
        <v>0</v>
      </c>
      <c r="VG54" s="90">
        <f t="shared" si="344"/>
        <v>0</v>
      </c>
      <c r="VH54" s="90">
        <f t="shared" si="345"/>
        <v>0</v>
      </c>
      <c r="VI54" s="90">
        <f t="shared" si="346"/>
        <v>0</v>
      </c>
      <c r="VJ54" s="90">
        <f t="shared" si="347"/>
        <v>0</v>
      </c>
      <c r="VK54" s="90">
        <f t="shared" si="348"/>
        <v>1.1000000000000001</v>
      </c>
      <c r="VL54" s="90">
        <f t="shared" si="349"/>
        <v>4.09</v>
      </c>
      <c r="VM54" s="90">
        <f t="shared" si="350"/>
        <v>6.76</v>
      </c>
      <c r="VN54" s="90">
        <f t="shared" si="351"/>
        <v>0</v>
      </c>
      <c r="VO54" s="90">
        <f t="shared" si="352"/>
        <v>6.76</v>
      </c>
      <c r="VP54" s="97">
        <v>0</v>
      </c>
      <c r="VQ54" s="97">
        <v>7.31</v>
      </c>
      <c r="VR54" s="90">
        <f t="shared" si="353"/>
        <v>0.53</v>
      </c>
      <c r="VS54" s="90">
        <f t="shared" si="354"/>
        <v>0.18</v>
      </c>
      <c r="VT54" s="90">
        <v>0.11989898989898991</v>
      </c>
      <c r="VU54" s="90">
        <f t="shared" si="355"/>
        <v>0.18240000000000003</v>
      </c>
      <c r="VV54" s="90">
        <v>0.38175323599898991</v>
      </c>
      <c r="VW54" s="90">
        <f t="shared" si="356"/>
        <v>0.71</v>
      </c>
      <c r="VX54" s="90">
        <f t="shared" si="357"/>
        <v>18.240000000000002</v>
      </c>
      <c r="VY54" s="90">
        <f t="shared" si="358"/>
        <v>18.240000000000002</v>
      </c>
      <c r="VZ54" s="90">
        <f t="shared" si="359"/>
        <v>0</v>
      </c>
      <c r="WA54" s="90"/>
      <c r="WB54" s="90">
        <f t="shared" si="360"/>
        <v>18.240000000000002</v>
      </c>
      <c r="WC54" s="90">
        <f t="shared" si="361"/>
        <v>0</v>
      </c>
      <c r="WD54" s="90"/>
      <c r="WE54" s="90">
        <v>18.239999999999998</v>
      </c>
      <c r="WF54" s="90"/>
      <c r="WG54" s="90">
        <f t="shared" si="362"/>
        <v>16924.896000000001</v>
      </c>
      <c r="WH54" s="90">
        <f t="shared" si="363"/>
        <v>16414.550999999996</v>
      </c>
      <c r="WI54" s="90">
        <f t="shared" si="364"/>
        <v>16415.23</v>
      </c>
      <c r="WJ54" s="90">
        <f t="shared" si="365"/>
        <v>10652.98</v>
      </c>
      <c r="WK54" s="97">
        <v>6782.95</v>
      </c>
      <c r="WL54" s="97">
        <v>7.31</v>
      </c>
      <c r="WM54" s="90">
        <f t="shared" si="366"/>
        <v>6782.95</v>
      </c>
      <c r="WN54" s="90">
        <f t="shared" si="367"/>
        <v>7.31</v>
      </c>
      <c r="WO54" s="90"/>
      <c r="WP54" s="97">
        <v>18.239999999999998</v>
      </c>
      <c r="WQ54" s="90">
        <f t="shared" si="368"/>
        <v>18.240000000000002</v>
      </c>
      <c r="WR54" s="91">
        <f t="shared" si="369"/>
        <v>105.49450549450552</v>
      </c>
      <c r="WS54" s="91">
        <f t="shared" si="370"/>
        <v>125.27472527472527</v>
      </c>
      <c r="WT54" s="90">
        <f t="shared" si="371"/>
        <v>16924.900000000001</v>
      </c>
      <c r="WU54" s="90">
        <f t="shared" si="372"/>
        <v>16925.579999999998</v>
      </c>
      <c r="WV54" s="90">
        <f t="shared" si="373"/>
        <v>-0.67999999999665306</v>
      </c>
      <c r="WW54" s="90">
        <v>2.73</v>
      </c>
      <c r="WX54" s="90"/>
      <c r="WY54" s="90"/>
      <c r="WZ54" s="90">
        <f t="shared" si="374"/>
        <v>4.0028454545454535</v>
      </c>
      <c r="XA54" s="90">
        <v>0</v>
      </c>
      <c r="XB54" s="90">
        <f t="shared" si="375"/>
        <v>4.0028454545454535</v>
      </c>
      <c r="XC54" s="90">
        <f t="shared" si="376"/>
        <v>0.4617</v>
      </c>
      <c r="XD54" s="90">
        <f t="shared" si="377"/>
        <v>0.15545454545454546</v>
      </c>
      <c r="XE54" s="90"/>
      <c r="XF54" s="90">
        <f t="shared" si="378"/>
        <v>15.39</v>
      </c>
      <c r="XG54" s="90">
        <v>7.3095194417501892</v>
      </c>
      <c r="XH54" s="20">
        <v>14.56</v>
      </c>
      <c r="XI54" s="20">
        <v>0</v>
      </c>
      <c r="XJ54" s="20"/>
      <c r="XK54" s="20"/>
      <c r="XL54" s="20"/>
      <c r="XM54" s="20">
        <v>17.29</v>
      </c>
      <c r="XN54" s="91">
        <f t="shared" si="380"/>
        <v>105.49450549450552</v>
      </c>
      <c r="XO54" s="20">
        <f t="shared" si="381"/>
        <v>14.56</v>
      </c>
      <c r="XP54" s="90">
        <v>14.56</v>
      </c>
      <c r="XQ54" s="91">
        <f t="shared" si="383"/>
        <v>125.27472527472527</v>
      </c>
      <c r="XR54" s="102"/>
      <c r="XS54" s="90">
        <f t="shared" si="384"/>
        <v>4.09</v>
      </c>
      <c r="XT54" s="90">
        <f t="shared" si="385"/>
        <v>6.68</v>
      </c>
      <c r="XU54" s="90">
        <f t="shared" si="386"/>
        <v>4.62</v>
      </c>
      <c r="XV54" s="90">
        <f t="shared" si="387"/>
        <v>1.1400000000000001</v>
      </c>
      <c r="XW54" s="90">
        <f t="shared" si="388"/>
        <v>0.59</v>
      </c>
      <c r="XX54" s="90">
        <f t="shared" si="389"/>
        <v>0.55000000000000004</v>
      </c>
      <c r="XY54" s="90">
        <f t="shared" si="390"/>
        <v>0.92</v>
      </c>
      <c r="XZ54" s="90">
        <f t="shared" si="391"/>
        <v>0</v>
      </c>
      <c r="YA54" s="90">
        <f t="shared" si="392"/>
        <v>0</v>
      </c>
      <c r="YB54" s="90">
        <f t="shared" si="552"/>
        <v>0</v>
      </c>
      <c r="YC54" s="90">
        <f t="shared" si="552"/>
        <v>0</v>
      </c>
      <c r="YD54" s="90">
        <f t="shared" si="394"/>
        <v>0.92</v>
      </c>
      <c r="YE54" s="90">
        <f t="shared" si="395"/>
        <v>6.76</v>
      </c>
      <c r="YF54" s="90">
        <f t="shared" si="396"/>
        <v>0.71</v>
      </c>
      <c r="YG54" s="90">
        <f t="shared" si="397"/>
        <v>18.240000000000002</v>
      </c>
      <c r="YI54" s="103" t="s">
        <v>442</v>
      </c>
      <c r="YK54" s="90">
        <f t="shared" si="398"/>
        <v>1.07</v>
      </c>
      <c r="YL54" s="90">
        <f t="shared" si="553"/>
        <v>0.59</v>
      </c>
      <c r="YM54" s="90">
        <f t="shared" si="553"/>
        <v>0.92</v>
      </c>
      <c r="YN54" s="90">
        <f t="shared" si="400"/>
        <v>4.09</v>
      </c>
      <c r="YO54" s="90">
        <f t="shared" si="401"/>
        <v>11.57</v>
      </c>
      <c r="YP54" s="90">
        <f t="shared" si="402"/>
        <v>0</v>
      </c>
      <c r="YQ54" s="90">
        <f t="shared" si="403"/>
        <v>18.240000000000002</v>
      </c>
      <c r="YR54" s="90">
        <f t="shared" si="404"/>
        <v>0</v>
      </c>
      <c r="YS54" s="104">
        <f t="shared" si="405"/>
        <v>18.240000000000002</v>
      </c>
      <c r="YT54" s="104">
        <f t="shared" si="406"/>
        <v>0</v>
      </c>
      <c r="YY54" s="90">
        <f t="shared" si="407"/>
        <v>8.120000000000001</v>
      </c>
      <c r="YZ54" s="90">
        <f t="shared" si="408"/>
        <v>4.9800000000000004</v>
      </c>
      <c r="ZA54" s="90">
        <f t="shared" si="409"/>
        <v>0.62</v>
      </c>
      <c r="ZB54" s="90">
        <f t="shared" si="410"/>
        <v>1.97</v>
      </c>
      <c r="ZC54" s="90">
        <f t="shared" si="411"/>
        <v>0.55000000000000004</v>
      </c>
      <c r="ZD54" s="90">
        <f t="shared" si="412"/>
        <v>0</v>
      </c>
      <c r="ZE54" s="90">
        <f t="shared" si="413"/>
        <v>0</v>
      </c>
      <c r="ZF54" s="90">
        <f t="shared" si="414"/>
        <v>0</v>
      </c>
      <c r="ZG54" s="90">
        <f t="shared" si="415"/>
        <v>0</v>
      </c>
      <c r="ZH54" s="90">
        <f t="shared" si="416"/>
        <v>0</v>
      </c>
      <c r="ZI54" s="90">
        <f t="shared" si="417"/>
        <v>0</v>
      </c>
      <c r="ZJ54" s="90">
        <f t="shared" si="418"/>
        <v>0</v>
      </c>
      <c r="ZK54" s="90">
        <f t="shared" si="419"/>
        <v>0</v>
      </c>
      <c r="ZL54" s="90">
        <f t="shared" si="420"/>
        <v>0</v>
      </c>
      <c r="ZM54" s="90">
        <f t="shared" si="421"/>
        <v>4.6100000000000003</v>
      </c>
      <c r="ZN54" s="90">
        <f t="shared" si="422"/>
        <v>11.790000000000001</v>
      </c>
      <c r="ZO54" s="90">
        <f t="shared" si="423"/>
        <v>7.68</v>
      </c>
      <c r="ZP54" s="90">
        <f t="shared" si="424"/>
        <v>9.82</v>
      </c>
      <c r="ZQ54" s="90">
        <f t="shared" si="425"/>
        <v>0</v>
      </c>
      <c r="ZR54" s="90">
        <f t="shared" si="426"/>
        <v>9.82</v>
      </c>
      <c r="ZS54" s="97">
        <v>227</v>
      </c>
      <c r="ZT54" s="97">
        <v>230.38</v>
      </c>
      <c r="ZU54" s="90">
        <f t="shared" si="427"/>
        <v>0.7</v>
      </c>
      <c r="ZV54" s="90">
        <f t="shared" si="428"/>
        <v>0.24</v>
      </c>
      <c r="ZW54" s="90">
        <v>0.11989898989898991</v>
      </c>
      <c r="ZX54" s="90">
        <f t="shared" si="429"/>
        <v>0.23490000000000003</v>
      </c>
      <c r="ZY54" s="90">
        <v>0.38175323599898991</v>
      </c>
      <c r="ZZ54" s="90">
        <f t="shared" si="430"/>
        <v>0.94</v>
      </c>
      <c r="AAA54" s="90">
        <f t="shared" si="431"/>
        <v>23.490000000000002</v>
      </c>
      <c r="AAB54" s="90">
        <f t="shared" si="432"/>
        <v>23.490000000000002</v>
      </c>
      <c r="AAC54" s="90">
        <f t="shared" si="433"/>
        <v>0</v>
      </c>
      <c r="AAD54" s="90"/>
      <c r="AAE54" s="90">
        <f t="shared" si="434"/>
        <v>23.490000000000002</v>
      </c>
      <c r="AAF54" s="90">
        <v>18.240000000000002</v>
      </c>
      <c r="AAG54" s="90">
        <f t="shared" si="435"/>
        <v>128.78289473684211</v>
      </c>
      <c r="AAH54" s="90">
        <f t="shared" si="436"/>
        <v>0</v>
      </c>
      <c r="AAI54" s="90">
        <v>0</v>
      </c>
      <c r="AAJ54" s="90"/>
      <c r="AAK54" s="1">
        <v>23.1</v>
      </c>
      <c r="AAL54" s="104">
        <f t="shared" si="437"/>
        <v>0.39000000000000057</v>
      </c>
      <c r="AAM54" s="103" t="s">
        <v>557</v>
      </c>
      <c r="AAN54" s="105">
        <v>7.9899999999999993</v>
      </c>
      <c r="AAO54" s="90">
        <f t="shared" si="438"/>
        <v>8.89</v>
      </c>
      <c r="AAP54" s="90">
        <v>4.97</v>
      </c>
      <c r="AAQ54" s="90">
        <f t="shared" si="439"/>
        <v>4.9800000000000004</v>
      </c>
      <c r="AAR54" s="90">
        <v>0.62</v>
      </c>
      <c r="AAS54" s="90">
        <f t="shared" si="440"/>
        <v>0.93</v>
      </c>
      <c r="AAT54" s="90">
        <f t="shared" si="441"/>
        <v>150</v>
      </c>
      <c r="AAU54" s="90">
        <v>1.85</v>
      </c>
      <c r="AAV54" s="90">
        <f t="shared" si="442"/>
        <v>1.97</v>
      </c>
      <c r="AAW54" s="90">
        <f t="shared" si="443"/>
        <v>106.48648648648648</v>
      </c>
      <c r="AAX54" s="90">
        <f t="shared" si="444"/>
        <v>0.46</v>
      </c>
      <c r="AAY54" s="90">
        <f t="shared" si="445"/>
        <v>0.55000000000000004</v>
      </c>
      <c r="AAZ54" s="90">
        <f t="shared" si="446"/>
        <v>0</v>
      </c>
      <c r="ABA54" s="90">
        <f t="shared" si="447"/>
        <v>0</v>
      </c>
      <c r="ABB54" s="90">
        <f t="shared" si="448"/>
        <v>0</v>
      </c>
      <c r="ABC54" s="90">
        <v>0</v>
      </c>
      <c r="ABD54" s="90">
        <f t="shared" si="449"/>
        <v>0</v>
      </c>
      <c r="ABE54" s="90"/>
      <c r="ABF54" s="90">
        <v>0</v>
      </c>
      <c r="ABG54" s="90">
        <f t="shared" si="450"/>
        <v>0</v>
      </c>
      <c r="ABH54" s="90"/>
      <c r="ABI54" s="90">
        <f t="shared" si="451"/>
        <v>0</v>
      </c>
      <c r="ABJ54" s="90">
        <f t="shared" si="452"/>
        <v>0</v>
      </c>
      <c r="ABK54" s="90">
        <v>0</v>
      </c>
      <c r="ABL54" s="90">
        <f t="shared" si="453"/>
        <v>0</v>
      </c>
      <c r="ABM54" s="90">
        <f t="shared" si="454"/>
        <v>0</v>
      </c>
      <c r="ABN54" s="90">
        <f t="shared" si="455"/>
        <v>0</v>
      </c>
      <c r="ABO54" s="90">
        <v>4.3899999999999997</v>
      </c>
      <c r="ABP54" s="90">
        <f t="shared" si="456"/>
        <v>4.6100000000000003</v>
      </c>
      <c r="ABQ54" s="90">
        <f t="shared" si="457"/>
        <v>105.01138952164011</v>
      </c>
      <c r="ABR54" s="90">
        <f t="shared" si="458"/>
        <v>11.790000000000001</v>
      </c>
      <c r="ABS54" s="90">
        <f t="shared" si="459"/>
        <v>7.68</v>
      </c>
      <c r="ABT54" s="90">
        <v>9.82</v>
      </c>
      <c r="ABU54" s="90">
        <f t="shared" si="460"/>
        <v>9.82</v>
      </c>
      <c r="ABV54" s="90">
        <f t="shared" si="461"/>
        <v>100</v>
      </c>
      <c r="ABW54" s="90">
        <f t="shared" si="462"/>
        <v>0</v>
      </c>
      <c r="ABX54" s="90">
        <f t="shared" si="463"/>
        <v>9.82</v>
      </c>
      <c r="ABY54" s="97">
        <v>227</v>
      </c>
      <c r="ABZ54" s="97">
        <v>230.38</v>
      </c>
      <c r="ACA54" s="90">
        <f t="shared" si="464"/>
        <v>0.7</v>
      </c>
      <c r="ACB54" s="90">
        <f t="shared" si="465"/>
        <v>0.24</v>
      </c>
      <c r="ACC54" s="90">
        <v>0.11989898989898991</v>
      </c>
      <c r="ACD54" s="90">
        <f t="shared" si="466"/>
        <v>0.23800000000000002</v>
      </c>
      <c r="ACE54" s="90">
        <v>0.38175323599898991</v>
      </c>
      <c r="ACF54" s="90">
        <v>0.9</v>
      </c>
      <c r="ACG54" s="90">
        <f t="shared" si="467"/>
        <v>0.94</v>
      </c>
      <c r="ACH54" s="90">
        <f t="shared" si="468"/>
        <v>104.44444444444443</v>
      </c>
      <c r="ACI54" s="90">
        <f t="shared" si="469"/>
        <v>24.26</v>
      </c>
      <c r="ACJ54" s="90">
        <f t="shared" si="470"/>
        <v>23.8</v>
      </c>
      <c r="ACK54" s="90">
        <f t="shared" si="471"/>
        <v>-0.46000000000000085</v>
      </c>
      <c r="ACL54" s="90"/>
      <c r="ACM54" s="90">
        <f t="shared" si="472"/>
        <v>24.26</v>
      </c>
      <c r="ACN54" s="90">
        <f t="shared" si="473"/>
        <v>0</v>
      </c>
      <c r="ACO54" s="90">
        <f t="shared" si="474"/>
        <v>24.26</v>
      </c>
      <c r="ACP54" s="90">
        <v>23.099999999999998</v>
      </c>
      <c r="ACQ54" s="90">
        <f t="shared" si="475"/>
        <v>105.02164502164504</v>
      </c>
      <c r="ACR54" s="90">
        <f t="shared" si="476"/>
        <v>0</v>
      </c>
      <c r="ACS54" s="90">
        <v>0</v>
      </c>
      <c r="ACT54" s="90"/>
      <c r="ACU54" s="90">
        <f t="shared" si="477"/>
        <v>24.278099999999995</v>
      </c>
      <c r="ACV54" s="90">
        <f t="shared" si="478"/>
        <v>1.8099999999993344E-2</v>
      </c>
      <c r="ACX54" s="106" t="s">
        <v>558</v>
      </c>
      <c r="ACY54" s="107">
        <v>12500</v>
      </c>
      <c r="ACZ54" s="107">
        <v>80000</v>
      </c>
      <c r="ADB54" s="90">
        <f t="shared" si="479"/>
        <v>4.6100000000000003</v>
      </c>
      <c r="ADC54" s="90">
        <f t="shared" si="480"/>
        <v>8.89</v>
      </c>
      <c r="ADD54" s="90">
        <f t="shared" si="481"/>
        <v>4.9800000000000004</v>
      </c>
      <c r="ADE54" s="90">
        <f t="shared" si="517"/>
        <v>1.9400000000000002</v>
      </c>
      <c r="ADF54" s="90">
        <f t="shared" si="483"/>
        <v>0.93</v>
      </c>
      <c r="ADG54" s="90">
        <f t="shared" si="554"/>
        <v>0.46</v>
      </c>
      <c r="ADH54" s="90">
        <f t="shared" si="554"/>
        <v>0.55000000000000004</v>
      </c>
      <c r="ADI54" s="90">
        <f t="shared" si="554"/>
        <v>0</v>
      </c>
      <c r="ADJ54" s="90">
        <f t="shared" si="485"/>
        <v>1.97</v>
      </c>
      <c r="ADK54" s="90">
        <f t="shared" si="486"/>
        <v>0</v>
      </c>
      <c r="ADL54" s="90">
        <f t="shared" si="487"/>
        <v>0</v>
      </c>
      <c r="ADM54" s="90">
        <f t="shared" si="555"/>
        <v>0</v>
      </c>
      <c r="ADN54" s="90">
        <f t="shared" si="555"/>
        <v>0</v>
      </c>
      <c r="ADO54" s="90">
        <f t="shared" si="489"/>
        <v>1.97</v>
      </c>
      <c r="ADP54" s="90">
        <f t="shared" si="490"/>
        <v>9.82</v>
      </c>
      <c r="ADQ54" s="90">
        <f t="shared" si="491"/>
        <v>0.94</v>
      </c>
      <c r="ADR54" s="90">
        <f t="shared" si="492"/>
        <v>24.26</v>
      </c>
      <c r="ADU54" s="90">
        <f t="shared" si="493"/>
        <v>1.1499999999999999</v>
      </c>
      <c r="ADV54" s="90">
        <f t="shared" si="494"/>
        <v>0.93</v>
      </c>
      <c r="ADW54" s="90">
        <f t="shared" si="495"/>
        <v>1.97</v>
      </c>
      <c r="ADX54" s="90">
        <f t="shared" si="496"/>
        <v>4.6100000000000003</v>
      </c>
      <c r="ADY54" s="90">
        <f t="shared" si="497"/>
        <v>15.14</v>
      </c>
      <c r="ADZ54" s="90">
        <f t="shared" si="498"/>
        <v>0</v>
      </c>
      <c r="AEA54" s="90">
        <f t="shared" si="499"/>
        <v>24.26</v>
      </c>
      <c r="AEB54" s="90">
        <f t="shared" si="500"/>
        <v>0</v>
      </c>
      <c r="AEC54" s="104">
        <f t="shared" si="501"/>
        <v>23.8</v>
      </c>
      <c r="AED54" s="104">
        <f t="shared" si="502"/>
        <v>0.46000000000000085</v>
      </c>
      <c r="AEG54" s="1">
        <v>7.9899999999999993</v>
      </c>
      <c r="AEH54" s="1">
        <v>4.97</v>
      </c>
      <c r="AEI54" s="1">
        <v>0.62</v>
      </c>
      <c r="AEJ54" s="1">
        <v>1.85</v>
      </c>
      <c r="AEK54" s="1">
        <v>0</v>
      </c>
      <c r="AEL54" s="1">
        <v>0.55000000000000004</v>
      </c>
      <c r="AEM54" s="1">
        <v>0</v>
      </c>
      <c r="AEN54" s="1">
        <v>0</v>
      </c>
      <c r="AEO54" s="1">
        <v>0</v>
      </c>
      <c r="AEP54" s="1">
        <v>0</v>
      </c>
      <c r="AEQ54" s="1">
        <v>0</v>
      </c>
      <c r="AER54" s="1">
        <v>0</v>
      </c>
      <c r="AES54" s="1">
        <v>0</v>
      </c>
      <c r="AET54" s="1">
        <v>0</v>
      </c>
      <c r="AEU54" s="1">
        <v>0</v>
      </c>
      <c r="AEV54" s="1">
        <v>0</v>
      </c>
      <c r="AEW54" s="1">
        <v>4.3899999999999997</v>
      </c>
      <c r="AEX54" s="1">
        <v>11.67</v>
      </c>
      <c r="AEY54" s="1">
        <v>7.68</v>
      </c>
      <c r="AEZ54" s="1">
        <v>9.82</v>
      </c>
      <c r="AFA54" s="1">
        <v>0</v>
      </c>
      <c r="AFB54" s="1">
        <v>9.82</v>
      </c>
      <c r="AFC54" s="1">
        <v>227</v>
      </c>
      <c r="AFD54" s="1">
        <v>230.38</v>
      </c>
      <c r="AFE54" s="1">
        <v>0.67</v>
      </c>
      <c r="AFF54" s="1">
        <v>0.23</v>
      </c>
      <c r="AFG54" s="1">
        <v>0.11989898989898991</v>
      </c>
      <c r="AFH54" s="1">
        <v>0.23099999999999998</v>
      </c>
      <c r="AFI54" s="1">
        <v>0.38175323599898991</v>
      </c>
      <c r="AFJ54" s="1">
        <v>0.9</v>
      </c>
      <c r="AFK54" s="1">
        <v>23.099999999999998</v>
      </c>
      <c r="AFL54" s="1">
        <v>23.099999999999998</v>
      </c>
      <c r="AFM54" s="1">
        <v>0</v>
      </c>
      <c r="AFO54" s="1">
        <v>23.099999999999998</v>
      </c>
      <c r="AFP54" s="1">
        <v>0</v>
      </c>
      <c r="AFQ54" s="1">
        <v>23.1</v>
      </c>
      <c r="AFX54" s="1">
        <v>23.98</v>
      </c>
    </row>
    <row r="55" spans="1:856" s="1" customFormat="1" ht="63.75" customHeight="1">
      <c r="A55" s="88">
        <v>47</v>
      </c>
      <c r="B55" s="20"/>
      <c r="C55" s="89" t="s">
        <v>559</v>
      </c>
      <c r="D55" s="20"/>
      <c r="E55" s="20" t="s">
        <v>536</v>
      </c>
      <c r="F55" s="20" t="s">
        <v>537</v>
      </c>
      <c r="G55" s="20">
        <v>1.2</v>
      </c>
      <c r="H55" s="20">
        <v>1416.9</v>
      </c>
      <c r="I55" s="20">
        <v>1416.9</v>
      </c>
      <c r="J55" s="20">
        <f t="shared" si="0"/>
        <v>1700.28</v>
      </c>
      <c r="K55" s="20">
        <v>27</v>
      </c>
      <c r="L55" s="20">
        <v>63</v>
      </c>
      <c r="M55" s="20">
        <v>72</v>
      </c>
      <c r="N55" s="20">
        <v>1775.77</v>
      </c>
      <c r="O55" s="90">
        <f t="shared" si="1"/>
        <v>1.25</v>
      </c>
      <c r="P55" s="20">
        <v>5184</v>
      </c>
      <c r="Q55" s="90">
        <f t="shared" si="613"/>
        <v>432</v>
      </c>
      <c r="R55" s="90">
        <f t="shared" si="2"/>
        <v>0.3</v>
      </c>
      <c r="S55" s="20">
        <v>125.8</v>
      </c>
      <c r="T55" s="20">
        <v>2.6</v>
      </c>
      <c r="U55" s="20">
        <v>3.13</v>
      </c>
      <c r="V55" s="91">
        <f t="shared" si="3"/>
        <v>1023.76</v>
      </c>
      <c r="W55" s="20">
        <v>2.1000000000000001E-2</v>
      </c>
      <c r="X55" s="20">
        <f t="shared" si="4"/>
        <v>33.42</v>
      </c>
      <c r="Y55" s="91">
        <f t="shared" si="5"/>
        <v>88.29</v>
      </c>
      <c r="Z55" s="20">
        <v>1.7999999999999999E-2</v>
      </c>
      <c r="AA55" s="20">
        <f t="shared" si="561"/>
        <v>171.12</v>
      </c>
      <c r="AB55" s="91">
        <f t="shared" si="562"/>
        <v>387.48</v>
      </c>
      <c r="AC55" s="91">
        <f t="shared" si="6"/>
        <v>1499.53</v>
      </c>
      <c r="AD55" s="90">
        <f t="shared" si="7"/>
        <v>1.06</v>
      </c>
      <c r="AE55" s="92">
        <f t="shared" si="8"/>
        <v>17994.36</v>
      </c>
      <c r="AF55" s="20">
        <v>63</v>
      </c>
      <c r="AG55" s="20">
        <v>56</v>
      </c>
      <c r="AH55" s="20">
        <v>56</v>
      </c>
      <c r="AI55" s="20">
        <v>60</v>
      </c>
      <c r="AJ55" s="20">
        <v>1.6</v>
      </c>
      <c r="AK55" s="90">
        <f t="shared" si="9"/>
        <v>7.47</v>
      </c>
      <c r="AL55" s="90">
        <v>391.01</v>
      </c>
      <c r="AM55" s="90">
        <f t="shared" si="10"/>
        <v>2920.84</v>
      </c>
      <c r="AN55" s="20">
        <v>66</v>
      </c>
      <c r="AO55" s="20">
        <v>60</v>
      </c>
      <c r="AP55" s="20">
        <v>63</v>
      </c>
      <c r="AQ55" s="20">
        <v>66</v>
      </c>
      <c r="AR55" s="20">
        <v>60</v>
      </c>
      <c r="AS55" s="20">
        <v>69</v>
      </c>
      <c r="AT55" s="20">
        <f t="shared" si="11"/>
        <v>7</v>
      </c>
      <c r="AU55" s="20">
        <v>1.6</v>
      </c>
      <c r="AV55" s="90">
        <f t="shared" si="12"/>
        <v>8.4</v>
      </c>
      <c r="AW55" s="90">
        <f t="shared" si="551"/>
        <v>188.88</v>
      </c>
      <c r="AX55" s="90">
        <v>1737.7</v>
      </c>
      <c r="AY55" s="90">
        <f t="shared" si="14"/>
        <v>1.23</v>
      </c>
      <c r="AZ55" s="90">
        <f t="shared" si="15"/>
        <v>3284.48</v>
      </c>
      <c r="BA55" s="90">
        <f t="shared" si="16"/>
        <v>-1546.78</v>
      </c>
      <c r="BB55" s="90">
        <v>1737.7</v>
      </c>
      <c r="BC55" s="90">
        <v>1.23</v>
      </c>
      <c r="BD55" s="92">
        <f t="shared" si="17"/>
        <v>20852.400000000001</v>
      </c>
      <c r="BE55" s="90"/>
      <c r="BF55" s="90">
        <f t="shared" si="18"/>
        <v>0</v>
      </c>
      <c r="BG55" s="90">
        <v>391.01</v>
      </c>
      <c r="BH55" s="90">
        <f t="shared" si="19"/>
        <v>3284.48</v>
      </c>
      <c r="BI55" s="90">
        <f t="shared" si="20"/>
        <v>2.3199999999999998</v>
      </c>
      <c r="BJ55" s="90">
        <f t="shared" si="21"/>
        <v>188.61788617886177</v>
      </c>
      <c r="BK55" s="90">
        <f t="shared" si="22"/>
        <v>3284.48</v>
      </c>
      <c r="BL55" s="90">
        <f t="shared" si="23"/>
        <v>2.3199999999999998</v>
      </c>
      <c r="BM55" s="90"/>
      <c r="BN55" s="90">
        <f t="shared" si="24"/>
        <v>0</v>
      </c>
      <c r="BO55" s="90">
        <f t="shared" si="25"/>
        <v>3284.48</v>
      </c>
      <c r="BP55" s="90">
        <f t="shared" si="26"/>
        <v>2.3180746700543438</v>
      </c>
      <c r="BQ55" s="90"/>
      <c r="BR55" s="90">
        <f t="shared" si="27"/>
        <v>0</v>
      </c>
      <c r="BS55" s="90">
        <f t="shared" si="28"/>
        <v>3284.48</v>
      </c>
      <c r="BT55" s="90">
        <f t="shared" si="29"/>
        <v>2.3180746700543438</v>
      </c>
      <c r="BU55" s="90"/>
      <c r="BV55" s="93">
        <v>1.7027650000000001</v>
      </c>
      <c r="BW55" s="90">
        <f t="shared" si="30"/>
        <v>2412.6477285000001</v>
      </c>
      <c r="BX55" s="90">
        <f t="shared" si="31"/>
        <v>2557.4065922100003</v>
      </c>
      <c r="BY55" s="90"/>
      <c r="BZ55" s="90">
        <v>3309.1230506100005</v>
      </c>
      <c r="CA55" s="90">
        <v>0.37305430897000003</v>
      </c>
      <c r="CB55" s="90">
        <f t="shared" si="556"/>
        <v>528.58065037959307</v>
      </c>
      <c r="CC55" s="90">
        <v>0.37305430897000003</v>
      </c>
      <c r="CD55" s="90">
        <f t="shared" si="563"/>
        <v>528.58065037959307</v>
      </c>
      <c r="CE55" s="90">
        <f t="shared" si="564"/>
        <v>528.58065037959307</v>
      </c>
      <c r="CF55" s="90">
        <v>512.62576374411071</v>
      </c>
      <c r="CG55" s="90">
        <v>512.62576374411071</v>
      </c>
      <c r="CH55" s="90">
        <f t="shared" si="565"/>
        <v>512.63</v>
      </c>
      <c r="CI55" s="90">
        <f t="shared" si="601"/>
        <v>539.94014593201234</v>
      </c>
      <c r="CJ55" s="90">
        <f t="shared" si="36"/>
        <v>540.82000000000005</v>
      </c>
      <c r="CK55" s="90">
        <f t="shared" si="37"/>
        <v>582.52599131414411</v>
      </c>
      <c r="CL55" s="90">
        <f t="shared" si="38"/>
        <v>582.52599131414411</v>
      </c>
      <c r="CM55" s="94">
        <v>0.14899999999999999</v>
      </c>
      <c r="CN55" s="90">
        <f t="shared" si="39"/>
        <v>359.48451154650002</v>
      </c>
      <c r="CO55" s="90">
        <f t="shared" si="40"/>
        <v>381.05358223929005</v>
      </c>
      <c r="CP55" s="90">
        <v>493.05994650000002</v>
      </c>
      <c r="CQ55" s="90">
        <v>5.0232736819999999E-2</v>
      </c>
      <c r="CR55" s="90">
        <f t="shared" si="557"/>
        <v>71.174764800258004</v>
      </c>
      <c r="CS55" s="90">
        <v>5.0232736819999999E-2</v>
      </c>
      <c r="CT55" s="90">
        <f t="shared" si="566"/>
        <v>71.174764800258004</v>
      </c>
      <c r="CU55" s="90">
        <f t="shared" si="567"/>
        <v>71.174764800258004</v>
      </c>
      <c r="CV55" s="90">
        <v>147.04469601734846</v>
      </c>
      <c r="CW55" s="90">
        <f t="shared" si="568"/>
        <v>147.04</v>
      </c>
      <c r="CX55" s="90">
        <f t="shared" si="602"/>
        <v>154.87349366569083</v>
      </c>
      <c r="CY55" s="90">
        <f t="shared" si="45"/>
        <v>155.13</v>
      </c>
      <c r="CZ55" s="90">
        <f t="shared" si="46"/>
        <v>167.08858584716413</v>
      </c>
      <c r="DA55" s="90">
        <f t="shared" si="47"/>
        <v>167.08858584716413</v>
      </c>
      <c r="DB55" s="93">
        <v>1.1979820000000001</v>
      </c>
      <c r="DC55" s="90">
        <f t="shared" si="48"/>
        <v>1697.4206958000002</v>
      </c>
      <c r="DD55" s="90">
        <f t="shared" si="49"/>
        <v>1799.2659375480002</v>
      </c>
      <c r="DE55" s="90"/>
      <c r="DF55" s="90">
        <v>960.04116434088928</v>
      </c>
      <c r="DG55" s="90">
        <v>0.28219173505</v>
      </c>
      <c r="DH55" s="90">
        <f t="shared" si="558"/>
        <v>399.83746939234504</v>
      </c>
      <c r="DI55" s="90">
        <v>0.28219173505</v>
      </c>
      <c r="DJ55" s="90">
        <f t="shared" si="569"/>
        <v>399.83746939234504</v>
      </c>
      <c r="DK55" s="90">
        <f t="shared" si="570"/>
        <v>399.83746939234504</v>
      </c>
      <c r="DL55" s="90">
        <v>323.7556939517512</v>
      </c>
      <c r="DM55" s="90">
        <f t="shared" si="571"/>
        <v>323.76</v>
      </c>
      <c r="DN55" s="90">
        <f t="shared" si="603"/>
        <v>341.00817674921149</v>
      </c>
      <c r="DO55" s="90">
        <f t="shared" si="54"/>
        <v>341.57</v>
      </c>
      <c r="DP55" s="90">
        <f t="shared" si="55"/>
        <v>367.90397547523025</v>
      </c>
      <c r="DQ55" s="90">
        <f t="shared" si="56"/>
        <v>367.90397547523025</v>
      </c>
      <c r="DR55" s="93">
        <v>4.2594E-2</v>
      </c>
      <c r="DS55" s="90">
        <f t="shared" si="57"/>
        <v>60.351438600000002</v>
      </c>
      <c r="DT55" s="90">
        <f t="shared" si="58"/>
        <v>63.972524916000005</v>
      </c>
      <c r="DU55" s="90">
        <v>36.311871658920829</v>
      </c>
      <c r="DV55" s="90">
        <v>1.366632888E-2</v>
      </c>
      <c r="DW55" s="90">
        <f t="shared" si="559"/>
        <v>19.363821390072001</v>
      </c>
      <c r="DX55" s="90">
        <v>1.366632888E-2</v>
      </c>
      <c r="DY55" s="90">
        <f t="shared" si="572"/>
        <v>19.363821390072001</v>
      </c>
      <c r="DZ55" s="90">
        <f t="shared" si="573"/>
        <v>19.363821390072001</v>
      </c>
      <c r="EA55" s="90">
        <f t="shared" si="574"/>
        <v>19.36</v>
      </c>
      <c r="EB55" s="90">
        <f t="shared" si="604"/>
        <v>20.391395792762339</v>
      </c>
      <c r="EC55" s="90">
        <f t="shared" si="63"/>
        <v>20.420000000000002</v>
      </c>
      <c r="ED55" s="90">
        <f t="shared" si="64"/>
        <v>21.9996941104536</v>
      </c>
      <c r="EE55" s="90">
        <f t="shared" si="65"/>
        <v>21.9996941104536</v>
      </c>
      <c r="EF55" s="94">
        <v>0.85293354333000004</v>
      </c>
      <c r="EG55" s="90">
        <f t="shared" si="66"/>
        <v>1450.2258450531324</v>
      </c>
      <c r="EH55" s="90">
        <f t="shared" si="67"/>
        <v>1537.2393957563204</v>
      </c>
      <c r="EI55" s="90">
        <v>1241.3971605415106</v>
      </c>
      <c r="EJ55" s="90">
        <v>0.16695248382</v>
      </c>
      <c r="EK55" s="90">
        <f>$I55*EJ55</f>
        <v>236.554974324558</v>
      </c>
      <c r="EL55" s="90">
        <v>0.16695248382</v>
      </c>
      <c r="EM55" s="90">
        <f t="shared" si="575"/>
        <v>236.554974324558</v>
      </c>
      <c r="EN55" s="90">
        <f t="shared" si="576"/>
        <v>236.554974324558</v>
      </c>
      <c r="EO55" s="90">
        <v>230.18680961522261</v>
      </c>
      <c r="EP55" s="90">
        <f t="shared" si="577"/>
        <v>230.19</v>
      </c>
      <c r="EQ55" s="90">
        <f t="shared" si="605"/>
        <v>242.45327466611377</v>
      </c>
      <c r="ER55" s="90">
        <f t="shared" si="72"/>
        <v>242.85</v>
      </c>
      <c r="ES55" s="90">
        <f t="shared" si="73"/>
        <v>261.5759084341588</v>
      </c>
      <c r="ET55" s="90">
        <f t="shared" si="74"/>
        <v>261.5759084341588</v>
      </c>
      <c r="EU55" s="94">
        <v>0.14899999999999999</v>
      </c>
      <c r="EV55" s="90">
        <f t="shared" si="75"/>
        <v>216.08365091291671</v>
      </c>
      <c r="EW55" s="90">
        <f t="shared" si="76"/>
        <v>229.04866996769172</v>
      </c>
      <c r="EX55" s="90">
        <v>184.99285267875544</v>
      </c>
      <c r="EY55" s="90">
        <v>2.4876671749999999E-2</v>
      </c>
      <c r="EZ55" s="90">
        <f>$I55*EY55</f>
        <v>35.247756202574998</v>
      </c>
      <c r="FA55" s="90">
        <v>2.4876671749999999E-2</v>
      </c>
      <c r="FB55" s="90">
        <f t="shared" si="578"/>
        <v>35.247756202574998</v>
      </c>
      <c r="FC55" s="90">
        <f t="shared" si="579"/>
        <v>35.247756202574998</v>
      </c>
      <c r="FD55" s="90">
        <v>71.148724543518654</v>
      </c>
      <c r="FE55" s="90">
        <f t="shared" si="580"/>
        <v>71.150000000000006</v>
      </c>
      <c r="FF55" s="90">
        <f t="shared" si="606"/>
        <v>74.940486087553751</v>
      </c>
      <c r="FG55" s="90">
        <f t="shared" si="81"/>
        <v>75.06</v>
      </c>
      <c r="FH55" s="90">
        <f t="shared" si="82"/>
        <v>80.85114855158956</v>
      </c>
      <c r="FI55" s="90">
        <f t="shared" si="83"/>
        <v>80.85114855158956</v>
      </c>
      <c r="FJ55" s="93">
        <v>0.49981642240000002</v>
      </c>
      <c r="FK55" s="90">
        <f t="shared" si="84"/>
        <v>849.82786667827202</v>
      </c>
      <c r="FL55" s="90">
        <f t="shared" si="85"/>
        <v>900.81753867896839</v>
      </c>
      <c r="FM55" s="90">
        <v>684.78096344624839</v>
      </c>
      <c r="FN55" s="90">
        <v>0.10761684168000001</v>
      </c>
      <c r="FO55" s="90">
        <f>$I55*FN55</f>
        <v>152.48230297639202</v>
      </c>
      <c r="FP55" s="90">
        <v>0.10761684168000001</v>
      </c>
      <c r="FQ55" s="90">
        <f t="shared" si="581"/>
        <v>152.48230297639202</v>
      </c>
      <c r="FR55" s="90">
        <f t="shared" si="582"/>
        <v>152.48230297639202</v>
      </c>
      <c r="FS55" s="90">
        <v>118.3025185792454</v>
      </c>
      <c r="FT55" s="90">
        <f t="shared" si="89"/>
        <v>123.98</v>
      </c>
      <c r="FU55" s="90">
        <v>139.11623020376882</v>
      </c>
      <c r="FV55" s="90">
        <f t="shared" si="583"/>
        <v>139.12</v>
      </c>
      <c r="FW55" s="90">
        <f t="shared" si="607"/>
        <v>146.53155902319713</v>
      </c>
      <c r="FX55" s="90">
        <f t="shared" si="91"/>
        <v>146.77000000000001</v>
      </c>
      <c r="FY55" s="90">
        <f t="shared" si="92"/>
        <v>158.08871098379674</v>
      </c>
      <c r="FZ55" s="90">
        <f t="shared" si="93"/>
        <v>158.08871098379674</v>
      </c>
      <c r="GA55" s="94">
        <v>1.352261642E-2</v>
      </c>
      <c r="GB55" s="90">
        <f t="shared" si="94"/>
        <v>22.992234246597597</v>
      </c>
      <c r="GC55" s="90">
        <f t="shared" si="95"/>
        <v>24.371768301393455</v>
      </c>
      <c r="GD55" s="90">
        <v>19.988318542462039</v>
      </c>
      <c r="GE55" s="90">
        <v>2.9119942899999999E-3</v>
      </c>
      <c r="GF55" s="90">
        <f>$I55*GE55</f>
        <v>4.1260047095010002</v>
      </c>
      <c r="GG55" s="90">
        <v>2.9119942899999999E-3</v>
      </c>
      <c r="GH55" s="90">
        <f t="shared" si="584"/>
        <v>4.1260047095010002</v>
      </c>
      <c r="GI55" s="90">
        <f t="shared" si="585"/>
        <v>4.1260047095010002</v>
      </c>
      <c r="GJ55" s="90">
        <f t="shared" si="586"/>
        <v>4.13</v>
      </c>
      <c r="GK55" s="90">
        <f t="shared" si="608"/>
        <v>4.3500239991791556</v>
      </c>
      <c r="GL55" s="90">
        <f t="shared" si="100"/>
        <v>4.3600000000000003</v>
      </c>
      <c r="GM55" s="90">
        <f t="shared" si="101"/>
        <v>4.6931165638519303</v>
      </c>
      <c r="GN55" s="90">
        <f t="shared" si="102"/>
        <v>4.6931165638519303</v>
      </c>
      <c r="GO55" s="90">
        <v>5443.2</v>
      </c>
      <c r="GP55" s="90">
        <f t="shared" si="103"/>
        <v>453.59999999999997</v>
      </c>
      <c r="GQ55" s="90">
        <f t="shared" ref="GQ55:GQ60" si="614">3572.1+831.6</f>
        <v>4403.7</v>
      </c>
      <c r="GR55" s="90">
        <f t="shared" si="104"/>
        <v>366.97499999999997</v>
      </c>
      <c r="GS55" s="90">
        <f t="shared" si="105"/>
        <v>820.57499999999993</v>
      </c>
      <c r="GT55" s="90">
        <f t="shared" si="106"/>
        <v>0.57999999999999996</v>
      </c>
      <c r="GU55" s="90">
        <v>6217.56</v>
      </c>
      <c r="GV55" s="90">
        <f t="shared" ref="GV55:GV60" si="615">3385.8+793.44</f>
        <v>4179.24</v>
      </c>
      <c r="GW55" s="90">
        <f t="shared" si="107"/>
        <v>866.4</v>
      </c>
      <c r="GX55" s="90">
        <f t="shared" si="108"/>
        <v>0.61</v>
      </c>
      <c r="GY55" s="90">
        <v>11111.58</v>
      </c>
      <c r="GZ55" s="90">
        <f t="shared" ref="GZ55:GZ60" si="616">3601.26+848.16</f>
        <v>4449.42</v>
      </c>
      <c r="HA55" s="90">
        <f t="shared" si="109"/>
        <v>1296.75</v>
      </c>
      <c r="HB55" s="90">
        <f t="shared" si="110"/>
        <v>0.92</v>
      </c>
      <c r="HC55" s="90">
        <v>11111.58</v>
      </c>
      <c r="HD55" s="90">
        <f t="shared" ref="HD55:HD60" si="617">3601.26+848.16</f>
        <v>4449.42</v>
      </c>
      <c r="HE55" s="90">
        <f t="shared" si="111"/>
        <v>1296.75</v>
      </c>
      <c r="HF55" s="90">
        <f t="shared" si="112"/>
        <v>0.92</v>
      </c>
      <c r="HG55" s="90"/>
      <c r="HH55" s="90"/>
      <c r="HI55" s="90">
        <v>0.96</v>
      </c>
      <c r="HJ55" s="90">
        <f t="shared" si="113"/>
        <v>1360.2239999999999</v>
      </c>
      <c r="HK55" s="90">
        <f t="shared" si="114"/>
        <v>1.0099230714941068</v>
      </c>
      <c r="HL55" s="90">
        <f t="shared" si="587"/>
        <v>1430.96</v>
      </c>
      <c r="HM55" s="90">
        <v>1.07</v>
      </c>
      <c r="HN55" s="90">
        <f t="shared" si="116"/>
        <v>1516.0830000000001</v>
      </c>
      <c r="HO55" s="90">
        <v>1.1499999999999999</v>
      </c>
      <c r="HP55" s="90">
        <f t="shared" si="117"/>
        <v>1629.44</v>
      </c>
      <c r="HQ55" s="90">
        <v>1.1499999999999999</v>
      </c>
      <c r="HR55" s="90">
        <f t="shared" si="118"/>
        <v>1629.44</v>
      </c>
      <c r="HS55" s="90">
        <v>0.96</v>
      </c>
      <c r="HT55" s="90">
        <f t="shared" si="588"/>
        <v>1360.2239999999999</v>
      </c>
      <c r="HU55" s="90" t="e">
        <f>HT55*#REF!</f>
        <v>#REF!</v>
      </c>
      <c r="HV55" s="90">
        <v>2.83</v>
      </c>
      <c r="HW55" s="20">
        <v>3.49</v>
      </c>
      <c r="HX55" s="90">
        <f t="shared" si="120"/>
        <v>4944.9810000000007</v>
      </c>
      <c r="HY55" s="90">
        <v>1.06</v>
      </c>
      <c r="HZ55" s="90">
        <f t="shared" si="121"/>
        <v>5241.6798600000011</v>
      </c>
      <c r="IA55" s="90">
        <f t="shared" si="122"/>
        <v>3.7</v>
      </c>
      <c r="IB55" s="90">
        <f t="shared" si="123"/>
        <v>3.88</v>
      </c>
      <c r="IC55" s="90">
        <f t="shared" si="124"/>
        <v>5497.5720000000001</v>
      </c>
      <c r="ID55" s="90">
        <f t="shared" si="125"/>
        <v>4.09</v>
      </c>
      <c r="IE55" s="90">
        <f t="shared" si="126"/>
        <v>5795.12</v>
      </c>
      <c r="IF55" s="90">
        <f t="shared" si="127"/>
        <v>4.09</v>
      </c>
      <c r="IG55" s="92">
        <f t="shared" si="128"/>
        <v>69541.440000000002</v>
      </c>
      <c r="IH55" s="90">
        <v>4.3899999999999997</v>
      </c>
      <c r="II55" s="90">
        <f t="shared" si="129"/>
        <v>4.6100000000000003</v>
      </c>
      <c r="IJ55" s="90">
        <f t="shared" si="130"/>
        <v>6531.91</v>
      </c>
      <c r="IK55" s="90">
        <f t="shared" si="131"/>
        <v>4.6100000000000003</v>
      </c>
      <c r="IL55" s="90">
        <f t="shared" si="132"/>
        <v>6531.91</v>
      </c>
      <c r="IM55" s="90">
        <f t="shared" si="133"/>
        <v>4.6100000000000003</v>
      </c>
      <c r="IN55" s="90">
        <f t="shared" si="134"/>
        <v>6531.91</v>
      </c>
      <c r="IO55" s="90">
        <f t="shared" si="135"/>
        <v>4.6100000000000003</v>
      </c>
      <c r="IP55" s="93">
        <v>0.37052404126999999</v>
      </c>
      <c r="IQ55" s="90">
        <f t="shared" si="136"/>
        <v>629.99461689055556</v>
      </c>
      <c r="IR55" s="90">
        <f t="shared" si="137"/>
        <v>667.79429390398889</v>
      </c>
      <c r="IS55" s="90">
        <v>18121.54</v>
      </c>
      <c r="IT55" s="90">
        <v>509.05</v>
      </c>
      <c r="IU55" s="90"/>
      <c r="IV55" s="90">
        <v>337.14975658801626</v>
      </c>
      <c r="IW55" s="90">
        <v>1.89119998663</v>
      </c>
      <c r="IX55" s="90">
        <f>$I55*IW55</f>
        <v>2679.6412610560474</v>
      </c>
      <c r="IY55" s="90">
        <v>1.89119998663</v>
      </c>
      <c r="IZ55" s="90">
        <f t="shared" si="139"/>
        <v>2679.6412610560474</v>
      </c>
      <c r="JA55" s="90">
        <f t="shared" si="589"/>
        <v>2608.8000000000002</v>
      </c>
      <c r="JB55" s="90">
        <f t="shared" si="609"/>
        <v>2747.7827140577683</v>
      </c>
      <c r="JC55" s="90">
        <f t="shared" si="141"/>
        <v>2752.28</v>
      </c>
      <c r="JD55" s="90">
        <f t="shared" si="142"/>
        <v>2964.5042352970745</v>
      </c>
      <c r="JE55" s="90">
        <f t="shared" si="143"/>
        <v>2964.5042352970745</v>
      </c>
      <c r="JF55" s="93">
        <v>4.2278943710000003E-2</v>
      </c>
      <c r="JG55" s="90">
        <f t="shared" si="144"/>
        <v>71.886042411238805</v>
      </c>
      <c r="JH55" s="90">
        <f t="shared" si="145"/>
        <v>76.199204955913132</v>
      </c>
      <c r="JI55" s="20">
        <v>101.71</v>
      </c>
      <c r="JJ55" s="90">
        <v>42.906520897782421</v>
      </c>
      <c r="JK55" s="90">
        <v>0.21559114040999999</v>
      </c>
      <c r="JL55" s="90">
        <f>$I55*JK55</f>
        <v>305.47108684692898</v>
      </c>
      <c r="JM55" s="90">
        <v>0.21559114040999999</v>
      </c>
      <c r="JN55" s="90">
        <f t="shared" si="147"/>
        <v>305.47108684692898</v>
      </c>
      <c r="JO55" s="90">
        <f t="shared" si="590"/>
        <v>305.47000000000003</v>
      </c>
      <c r="JP55" s="90">
        <f t="shared" si="610"/>
        <v>321.74378475284669</v>
      </c>
      <c r="JQ55" s="90">
        <f t="shared" si="149"/>
        <v>322.27</v>
      </c>
      <c r="JR55" s="90">
        <f t="shared" si="150"/>
        <v>347.12017354960028</v>
      </c>
      <c r="JS55" s="90">
        <f t="shared" si="151"/>
        <v>347.12017354960028</v>
      </c>
      <c r="JT55" s="93">
        <v>7.3220517000000002E-3</v>
      </c>
      <c r="JU55" s="90">
        <f t="shared" si="152"/>
        <v>12.449538064476</v>
      </c>
      <c r="JV55" s="90">
        <f t="shared" si="591"/>
        <v>12.45</v>
      </c>
      <c r="JW55" s="90">
        <f t="shared" si="611"/>
        <v>13.113268472101813</v>
      </c>
      <c r="JX55" s="90">
        <f t="shared" si="154"/>
        <v>13.13</v>
      </c>
      <c r="JY55" s="90">
        <f t="shared" si="155"/>
        <v>14.147530561732815</v>
      </c>
      <c r="JZ55" s="90">
        <f t="shared" si="156"/>
        <v>14.147530561732815</v>
      </c>
      <c r="KA55" s="90">
        <v>1.1499999999999999</v>
      </c>
      <c r="KB55" s="90">
        <v>12.449538064476</v>
      </c>
      <c r="KC55" s="90" t="e">
        <f>KB55*#REF!</f>
        <v>#REF!</v>
      </c>
      <c r="KD55" s="90">
        <v>17952.740000000002</v>
      </c>
      <c r="KE55" s="90">
        <v>22700.14</v>
      </c>
      <c r="KF55" s="90"/>
      <c r="KG55" s="90">
        <f t="shared" si="550"/>
        <v>1791.5832550351645</v>
      </c>
      <c r="KH55" s="90" t="e">
        <f>KG55/(BW55+#REF!)*(CB55+#REF!)</f>
        <v>#REF!</v>
      </c>
      <c r="KI55" s="90">
        <v>0.8</v>
      </c>
      <c r="KJ55" s="94"/>
      <c r="KK55" s="90">
        <f t="shared" si="159"/>
        <v>0</v>
      </c>
      <c r="KL55" s="93"/>
      <c r="KM55" s="90">
        <v>2447.2770218700548</v>
      </c>
      <c r="KN55" s="90">
        <f t="shared" si="161"/>
        <v>2594.1136431822583</v>
      </c>
      <c r="KO55" s="90" t="e">
        <f>BW55+CN55+DC55+DS55+EG55+EV55+FK55+GB55+#REF!+#REF!+HJ55+HX55+IQ55+JG55+JU55+KK55+KM55</f>
        <v>#REF!</v>
      </c>
      <c r="KP55" s="90">
        <v>1931.3267489279074</v>
      </c>
      <c r="KQ55" s="90">
        <v>0.28334929455000002</v>
      </c>
      <c r="KR55" s="90">
        <f t="shared" si="560"/>
        <v>401.47761544789506</v>
      </c>
      <c r="KS55" s="90">
        <v>0.28334929455000002</v>
      </c>
      <c r="KT55" s="90">
        <f t="shared" si="592"/>
        <v>401.47761544789506</v>
      </c>
      <c r="KU55" s="90">
        <f t="shared" si="593"/>
        <v>401.47761544789506</v>
      </c>
      <c r="KV55" s="90">
        <f t="shared" si="594"/>
        <v>401.48</v>
      </c>
      <c r="KW55" s="90">
        <f t="shared" si="612"/>
        <v>422.86867680156115</v>
      </c>
      <c r="KX55" s="90">
        <f t="shared" si="166"/>
        <v>423.56</v>
      </c>
      <c r="KY55" s="90">
        <f t="shared" si="167"/>
        <v>456.22092931120409</v>
      </c>
      <c r="KZ55" s="90">
        <f t="shared" si="168"/>
        <v>456.22092931120409</v>
      </c>
      <c r="LA55" s="90">
        <f t="shared" si="169"/>
        <v>6546.0799999999981</v>
      </c>
      <c r="LB55" s="90">
        <f t="shared" si="170"/>
        <v>4.62</v>
      </c>
      <c r="LC55" s="92">
        <f t="shared" si="171"/>
        <v>78552.959999999977</v>
      </c>
      <c r="LD55" s="92">
        <v>4.97</v>
      </c>
      <c r="LE55" s="92">
        <v>7041.9900000000007</v>
      </c>
      <c r="LF55" s="90">
        <f t="shared" si="172"/>
        <v>4.9800000000000004</v>
      </c>
      <c r="LG55" s="90">
        <f t="shared" si="173"/>
        <v>7056.16</v>
      </c>
      <c r="LH55" s="90">
        <f t="shared" si="174"/>
        <v>7037.0359999999973</v>
      </c>
      <c r="LI55" s="90">
        <f t="shared" si="175"/>
        <v>4.97</v>
      </c>
      <c r="LJ55" s="90">
        <f t="shared" si="176"/>
        <v>7056.1600000000017</v>
      </c>
      <c r="LK55" s="90">
        <f t="shared" si="177"/>
        <v>4.9800000000000004</v>
      </c>
      <c r="LL55" s="90">
        <f t="shared" si="178"/>
        <v>7056.1600000000017</v>
      </c>
      <c r="LM55" s="90">
        <f t="shared" si="179"/>
        <v>4.9800000000000004</v>
      </c>
      <c r="LN55" s="95">
        <v>0.46</v>
      </c>
      <c r="LO55" s="95">
        <f t="shared" si="180"/>
        <v>651.77</v>
      </c>
      <c r="LP55" s="95"/>
      <c r="LQ55" s="95">
        <f t="shared" si="181"/>
        <v>0</v>
      </c>
      <c r="LR55" s="90"/>
      <c r="LS55" s="90"/>
      <c r="LT55" s="90">
        <f t="shared" si="182"/>
        <v>0</v>
      </c>
      <c r="LU55" s="90"/>
      <c r="LV55" s="90">
        <f t="shared" si="183"/>
        <v>0</v>
      </c>
      <c r="LW55" s="90">
        <f t="shared" si="184"/>
        <v>0</v>
      </c>
      <c r="LX55" s="90"/>
      <c r="LY55" s="90"/>
      <c r="LZ55" s="90">
        <f t="shared" si="185"/>
        <v>0</v>
      </c>
      <c r="MA55" s="90"/>
      <c r="MB55" s="90">
        <f t="shared" si="186"/>
        <v>0</v>
      </c>
      <c r="MC55" s="90">
        <f t="shared" si="187"/>
        <v>0</v>
      </c>
      <c r="MD55" s="90"/>
      <c r="ME55" s="90"/>
      <c r="MF55" s="90">
        <f t="shared" si="188"/>
        <v>0</v>
      </c>
      <c r="MG55" s="90"/>
      <c r="MH55" s="90">
        <f t="shared" si="189"/>
        <v>0</v>
      </c>
      <c r="MI55" s="90">
        <f t="shared" si="190"/>
        <v>0</v>
      </c>
      <c r="MJ55" s="90"/>
      <c r="MK55" s="90"/>
      <c r="ML55" s="90">
        <f t="shared" si="191"/>
        <v>0</v>
      </c>
      <c r="MM55" s="90"/>
      <c r="MN55" s="90">
        <f t="shared" si="192"/>
        <v>0</v>
      </c>
      <c r="MO55" s="90">
        <f t="shared" si="193"/>
        <v>0</v>
      </c>
      <c r="MP55" s="90">
        <f t="shared" si="194"/>
        <v>0</v>
      </c>
      <c r="MQ55" s="90">
        <f t="shared" si="195"/>
        <v>0</v>
      </c>
      <c r="MR55" s="90">
        <f t="shared" si="196"/>
        <v>0</v>
      </c>
      <c r="MS55" s="90">
        <f t="shared" si="197"/>
        <v>0</v>
      </c>
      <c r="MT55" s="95"/>
      <c r="MU55" s="95">
        <f t="shared" si="198"/>
        <v>0</v>
      </c>
      <c r="MV55" s="92">
        <f t="shared" si="199"/>
        <v>0</v>
      </c>
      <c r="MW55" s="95"/>
      <c r="MX55" s="95">
        <f t="shared" si="200"/>
        <v>0</v>
      </c>
      <c r="MY55" s="95"/>
      <c r="MZ55" s="95">
        <f t="shared" si="201"/>
        <v>0</v>
      </c>
      <c r="NA55" s="95"/>
      <c r="NB55" s="95">
        <f t="shared" si="202"/>
        <v>0</v>
      </c>
      <c r="NC55" s="92">
        <f t="shared" si="203"/>
        <v>0</v>
      </c>
      <c r="ND55" s="95"/>
      <c r="NE55" s="95">
        <f t="shared" si="204"/>
        <v>0</v>
      </c>
      <c r="NF55" s="95"/>
      <c r="NG55" s="95">
        <f t="shared" si="205"/>
        <v>0</v>
      </c>
      <c r="NH55" s="95"/>
      <c r="NI55" s="95"/>
      <c r="NJ55" s="95">
        <f t="shared" si="206"/>
        <v>0</v>
      </c>
      <c r="NK55" s="92">
        <f t="shared" si="207"/>
        <v>0</v>
      </c>
      <c r="NL55" s="95"/>
      <c r="NM55" s="95">
        <f t="shared" si="208"/>
        <v>0</v>
      </c>
      <c r="NN55" s="95"/>
      <c r="NO55" s="95">
        <f t="shared" si="209"/>
        <v>0</v>
      </c>
      <c r="NP55" s="95"/>
      <c r="NQ55" s="95">
        <f t="shared" si="210"/>
        <v>0</v>
      </c>
      <c r="NR55" s="92">
        <f t="shared" si="211"/>
        <v>0</v>
      </c>
      <c r="NS55" s="95"/>
      <c r="NT55" s="95">
        <f t="shared" si="212"/>
        <v>0</v>
      </c>
      <c r="NU55" s="95"/>
      <c r="NV55" s="95">
        <f t="shared" si="213"/>
        <v>0</v>
      </c>
      <c r="NW55" s="95">
        <f>0.55+0.25</f>
        <v>0.8</v>
      </c>
      <c r="NX55" s="95">
        <f t="shared" si="214"/>
        <v>1133.52</v>
      </c>
      <c r="NY55" s="92">
        <f t="shared" si="215"/>
        <v>13602.24</v>
      </c>
      <c r="NZ55" s="112">
        <f>0.55+0.25</f>
        <v>0.8</v>
      </c>
      <c r="OA55" s="95">
        <f t="shared" si="216"/>
        <v>1133.52</v>
      </c>
      <c r="OB55" s="112">
        <f t="shared" ref="OB55:OB60" si="618">0.53+0.25</f>
        <v>0.78</v>
      </c>
      <c r="OC55" s="95">
        <f t="shared" si="217"/>
        <v>1105.18</v>
      </c>
      <c r="OD55" s="90">
        <v>5724.28</v>
      </c>
      <c r="OE55" s="90">
        <f t="shared" si="218"/>
        <v>4.04</v>
      </c>
      <c r="OF55" s="92">
        <f t="shared" si="219"/>
        <v>68691.360000000001</v>
      </c>
      <c r="OG55" s="96">
        <v>1737.7</v>
      </c>
      <c r="OH55" s="96">
        <v>1.23</v>
      </c>
      <c r="OI55" s="90">
        <v>13658.92</v>
      </c>
      <c r="OJ55" s="90">
        <f t="shared" si="220"/>
        <v>9.64</v>
      </c>
      <c r="OK55" s="90">
        <f t="shared" si="221"/>
        <v>7461.98</v>
      </c>
      <c r="OL55" s="90">
        <f t="shared" si="222"/>
        <v>5.27</v>
      </c>
      <c r="OM55" s="90">
        <f t="shared" si="223"/>
        <v>4.370000000000001</v>
      </c>
      <c r="ON55" s="90">
        <v>11916.13</v>
      </c>
      <c r="OO55" s="90">
        <f t="shared" si="224"/>
        <v>8.41</v>
      </c>
      <c r="OP55" s="90">
        <v>11921.22</v>
      </c>
      <c r="OQ55" s="90">
        <v>8.41</v>
      </c>
      <c r="OR55" s="90">
        <f t="shared" si="225"/>
        <v>0</v>
      </c>
      <c r="OS55" s="90">
        <f t="shared" si="226"/>
        <v>8.41</v>
      </c>
      <c r="OT55" s="90">
        <v>11916.13</v>
      </c>
      <c r="OU55" s="90">
        <f t="shared" si="227"/>
        <v>8.41</v>
      </c>
      <c r="OV55" s="97">
        <v>10499.23</v>
      </c>
      <c r="OW55" s="90">
        <f t="shared" ref="OW55:OW60" si="619">ROUND((I55*OY55),2)</f>
        <v>10499.23</v>
      </c>
      <c r="OX55" s="90">
        <f t="shared" si="229"/>
        <v>7.41</v>
      </c>
      <c r="OY55" s="90">
        <f>OU55-1</f>
        <v>7.41</v>
      </c>
      <c r="OZ55" s="90"/>
      <c r="PA55" s="90"/>
      <c r="PB55" s="95">
        <f t="shared" si="230"/>
        <v>0</v>
      </c>
      <c r="PC55" s="92">
        <f t="shared" si="231"/>
        <v>0</v>
      </c>
      <c r="PD55" s="90"/>
      <c r="PE55" s="95">
        <f t="shared" si="232"/>
        <v>0</v>
      </c>
      <c r="PF55" s="90">
        <f t="shared" si="233"/>
        <v>21757.274999999998</v>
      </c>
      <c r="PG55" s="90">
        <f t="shared" si="234"/>
        <v>15.36</v>
      </c>
      <c r="PH55" s="90">
        <f t="shared" si="235"/>
        <v>30453.820000000003</v>
      </c>
      <c r="PI55" s="90">
        <f t="shared" si="236"/>
        <v>21.49</v>
      </c>
      <c r="PJ55" s="90">
        <f t="shared" si="237"/>
        <v>30453.820000000003</v>
      </c>
      <c r="PK55" s="90">
        <f t="shared" si="238"/>
        <v>21.49</v>
      </c>
      <c r="PL55" s="90"/>
      <c r="PM55" s="90">
        <f t="shared" si="239"/>
        <v>652.72</v>
      </c>
      <c r="PN55" s="90">
        <f t="shared" si="240"/>
        <v>0.46</v>
      </c>
      <c r="PO55" s="92">
        <f t="shared" si="241"/>
        <v>7832.64</v>
      </c>
      <c r="PP55" s="90">
        <f t="shared" si="242"/>
        <v>913.61</v>
      </c>
      <c r="PQ55" s="90">
        <f t="shared" si="243"/>
        <v>0.64</v>
      </c>
      <c r="PR55" s="90">
        <f t="shared" si="244"/>
        <v>913.61</v>
      </c>
      <c r="PS55" s="90">
        <f t="shared" si="245"/>
        <v>0.64</v>
      </c>
      <c r="PT55" s="90">
        <f t="shared" si="246"/>
        <v>22409.994999999999</v>
      </c>
      <c r="PU55" s="90">
        <f t="shared" si="247"/>
        <v>15.82</v>
      </c>
      <c r="PV55" s="90">
        <f t="shared" si="248"/>
        <v>31367.430000000004</v>
      </c>
      <c r="PW55" s="90">
        <f t="shared" si="249"/>
        <v>22.14</v>
      </c>
      <c r="PX55" s="90">
        <f t="shared" si="250"/>
        <v>31367.430000000004</v>
      </c>
      <c r="PY55" s="90">
        <f t="shared" si="251"/>
        <v>22.14</v>
      </c>
      <c r="PZ55" s="90">
        <f t="shared" si="252"/>
        <v>226.36</v>
      </c>
      <c r="QA55" s="90">
        <f t="shared" si="253"/>
        <v>0.16</v>
      </c>
      <c r="QB55" s="92">
        <f t="shared" si="254"/>
        <v>2716.32</v>
      </c>
      <c r="QC55" s="90">
        <f t="shared" si="255"/>
        <v>316.83999999999997</v>
      </c>
      <c r="QD55" s="90">
        <f t="shared" si="256"/>
        <v>0.22</v>
      </c>
      <c r="QE55" s="90">
        <f t="shared" si="257"/>
        <v>316.83999999999997</v>
      </c>
      <c r="QF55" s="90">
        <f t="shared" si="258"/>
        <v>0.22</v>
      </c>
      <c r="QG55" s="90">
        <f t="shared" si="259"/>
        <v>22636.355</v>
      </c>
      <c r="QH55" s="90">
        <f t="shared" si="260"/>
        <v>15.98</v>
      </c>
      <c r="QI55" s="92">
        <f t="shared" si="261"/>
        <v>271636.26</v>
      </c>
      <c r="QJ55" s="90">
        <f t="shared" si="262"/>
        <v>438.84867680156117</v>
      </c>
      <c r="QK55" s="98">
        <f t="shared" si="263"/>
        <v>0.30915000000000004</v>
      </c>
      <c r="QL55" s="90">
        <f t="shared" si="264"/>
        <v>438.03463500000009</v>
      </c>
      <c r="QM55" s="90">
        <f t="shared" si="265"/>
        <v>0.15110000000000001</v>
      </c>
      <c r="QN55" s="90">
        <f t="shared" si="266"/>
        <v>214.09359000000003</v>
      </c>
      <c r="QO55" s="90">
        <v>0.27615000000000001</v>
      </c>
      <c r="QP55" s="90">
        <v>0.18410000000000001</v>
      </c>
      <c r="QQ55" s="97">
        <f t="shared" si="267"/>
        <v>652.12822500000016</v>
      </c>
      <c r="QR55" s="97">
        <v>652.12822500000016</v>
      </c>
      <c r="QS55" s="97">
        <f t="shared" si="268"/>
        <v>0</v>
      </c>
      <c r="QT55" s="90"/>
      <c r="QU55" s="90">
        <f t="shared" si="269"/>
        <v>0.15110000000000001</v>
      </c>
      <c r="QV55" s="90">
        <f t="shared" si="270"/>
        <v>214.09359000000003</v>
      </c>
      <c r="QW55" s="90">
        <f t="shared" si="271"/>
        <v>652.12822500000016</v>
      </c>
      <c r="QX55" s="90">
        <f t="shared" si="272"/>
        <v>0.4602500000000001</v>
      </c>
      <c r="QY55" s="90"/>
      <c r="QZ55" s="90"/>
      <c r="RA55" s="90"/>
      <c r="RB55" s="90">
        <v>6206.5400000000009</v>
      </c>
      <c r="RC55" s="97">
        <f t="shared" si="273"/>
        <v>22636.355</v>
      </c>
      <c r="RD55" s="97">
        <f t="shared" si="274"/>
        <v>15.98</v>
      </c>
      <c r="RE55" s="90">
        <f t="shared" si="275"/>
        <v>31684.270000000004</v>
      </c>
      <c r="RF55" s="90">
        <f t="shared" si="276"/>
        <v>22.36</v>
      </c>
      <c r="RG55" s="90">
        <f t="shared" si="277"/>
        <v>139.92490613266582</v>
      </c>
      <c r="RH55" s="90">
        <f t="shared" si="278"/>
        <v>31684.270000000004</v>
      </c>
      <c r="RI55" s="90">
        <f t="shared" si="279"/>
        <v>22.36</v>
      </c>
      <c r="RJ55" s="90">
        <v>22.090000000000003</v>
      </c>
      <c r="RK55" s="90">
        <v>0</v>
      </c>
      <c r="RL55" s="90">
        <f t="shared" si="280"/>
        <v>0.26999999999999602</v>
      </c>
      <c r="RM55" s="90">
        <f t="shared" si="281"/>
        <v>104.33971068595429</v>
      </c>
      <c r="RN55" s="90">
        <f t="shared" si="282"/>
        <v>16724.699999999997</v>
      </c>
      <c r="RO55" s="90"/>
      <c r="RP55" s="90"/>
      <c r="RQ55" s="99">
        <v>3355</v>
      </c>
      <c r="RR55" s="90">
        <f t="shared" si="283"/>
        <v>16912.075000000001</v>
      </c>
      <c r="RS55" s="90">
        <f t="shared" si="284"/>
        <v>11.935969369750865</v>
      </c>
      <c r="RT55" s="20">
        <v>14.56</v>
      </c>
      <c r="RU55" s="90">
        <f t="shared" si="285"/>
        <v>20630.064000000002</v>
      </c>
      <c r="RV55" s="90">
        <f t="shared" si="286"/>
        <v>0.30972452311494186</v>
      </c>
      <c r="RW55" s="20">
        <v>13.49</v>
      </c>
      <c r="RX55" s="90">
        <f t="shared" si="287"/>
        <v>14.1645</v>
      </c>
      <c r="RY55" s="90">
        <f t="shared" si="288"/>
        <v>20069.680050000003</v>
      </c>
      <c r="RZ55" s="90">
        <f t="shared" si="289"/>
        <v>6206.6312455906409</v>
      </c>
      <c r="SA55" s="90">
        <f t="shared" si="290"/>
        <v>1848.8453596231884</v>
      </c>
      <c r="SB55" s="90">
        <f t="shared" si="291"/>
        <v>1848.8453596231884</v>
      </c>
      <c r="SC55" s="90">
        <f t="shared" si="292"/>
        <v>6206.6312455906409</v>
      </c>
      <c r="SD55" s="90">
        <f t="shared" si="293"/>
        <v>6206.6312455906409</v>
      </c>
      <c r="SE55" s="90">
        <f t="shared" si="294"/>
        <v>6206.6390912590314</v>
      </c>
      <c r="SF55" s="90">
        <f t="shared" si="295"/>
        <v>6185.8175339661175</v>
      </c>
      <c r="SG55" s="90">
        <f t="shared" si="296"/>
        <v>20.813711624523421</v>
      </c>
      <c r="SH55" s="90">
        <f t="shared" si="297"/>
        <v>6206.6312455906409</v>
      </c>
      <c r="SI55" s="90">
        <f t="shared" si="298"/>
        <v>4.3804299848899992</v>
      </c>
      <c r="SJ55" s="100">
        <f t="shared" si="299"/>
        <v>4.3657403726205919</v>
      </c>
      <c r="SK55" s="100"/>
      <c r="SL55" s="100"/>
      <c r="SM55" s="90"/>
      <c r="SN55" s="90">
        <f t="shared" si="300"/>
        <v>6284.85</v>
      </c>
      <c r="SO55" s="90" t="e">
        <f>RU55-#REF!-#REF!-HZ55-LT55-LZ55-MF55-ML55-QL55-QN55-SD55</f>
        <v>#REF!</v>
      </c>
      <c r="SP55" s="90">
        <f t="shared" si="301"/>
        <v>6206.5400000000009</v>
      </c>
      <c r="SQ55" s="90">
        <f t="shared" si="302"/>
        <v>6546.0799999999981</v>
      </c>
      <c r="SR55" s="90">
        <f t="shared" si="303"/>
        <v>4.3803655868445199</v>
      </c>
      <c r="SS55" s="90">
        <f t="shared" si="304"/>
        <v>4.6200014115322166</v>
      </c>
      <c r="ST55" s="90">
        <f t="shared" si="305"/>
        <v>6554.3030000000017</v>
      </c>
      <c r="SU55" s="90">
        <v>4.3803655868445199</v>
      </c>
      <c r="SV55" s="90">
        <f t="shared" si="306"/>
        <v>4.63</v>
      </c>
      <c r="SW55" s="90">
        <v>4.62</v>
      </c>
      <c r="SX55" s="90">
        <f t="shared" si="307"/>
        <v>6546.08</v>
      </c>
      <c r="SY55" s="90">
        <v>4.3804361634554301</v>
      </c>
      <c r="SZ55" s="90">
        <f t="shared" si="308"/>
        <v>6206.6399999999994</v>
      </c>
      <c r="TA55" s="90">
        <f t="shared" si="309"/>
        <v>9.9999999998544808E-2</v>
      </c>
      <c r="TB55" s="90">
        <v>0</v>
      </c>
      <c r="TC55" s="90">
        <f t="shared" si="310"/>
        <v>6169.1487750000015</v>
      </c>
      <c r="TD55" s="90" t="e">
        <f>#REF!+#REF!</f>
        <v>#REF!</v>
      </c>
      <c r="TE55" s="90" t="e">
        <f t="shared" si="311"/>
        <v>#REF!</v>
      </c>
      <c r="TF55" s="90">
        <v>6066.0537750000003</v>
      </c>
      <c r="TG55" s="90">
        <f t="shared" si="312"/>
        <v>29.90368219410275</v>
      </c>
      <c r="TH55" s="95"/>
      <c r="TI55" s="95"/>
      <c r="TJ55" s="95"/>
      <c r="TK55" s="95"/>
      <c r="TL55" s="95">
        <v>0.55000000000000004</v>
      </c>
      <c r="TM55" s="95">
        <f t="shared" si="313"/>
        <v>779.29500000000007</v>
      </c>
      <c r="TN55" s="95">
        <f t="shared" si="314"/>
        <v>21409.359000000004</v>
      </c>
      <c r="TO55" s="95">
        <f t="shared" si="315"/>
        <v>28.815196078500062</v>
      </c>
      <c r="TP55" s="95"/>
      <c r="TQ55" s="95">
        <f t="shared" si="316"/>
        <v>15.110000000000001</v>
      </c>
      <c r="TR55" s="95"/>
      <c r="TS55" s="95"/>
      <c r="TT55" s="95"/>
      <c r="TU55" s="95"/>
      <c r="TV55" s="95"/>
      <c r="TW55" s="95"/>
      <c r="TX55" s="95"/>
      <c r="TY55" s="95"/>
      <c r="TZ55" s="95">
        <f t="shared" si="317"/>
        <v>3.0459960291197885</v>
      </c>
      <c r="UA55" s="95">
        <f t="shared" si="318"/>
        <v>0.6648400000000001</v>
      </c>
      <c r="UB55" s="90">
        <v>0</v>
      </c>
      <c r="UC55" s="90">
        <f t="shared" si="319"/>
        <v>0</v>
      </c>
      <c r="UD55" s="90">
        <f t="shared" si="320"/>
        <v>0</v>
      </c>
      <c r="UE55" s="90">
        <f t="shared" si="321"/>
        <v>0</v>
      </c>
      <c r="UF55" s="90">
        <f t="shared" si="322"/>
        <v>20630.064000000002</v>
      </c>
      <c r="UG55" s="91">
        <f t="shared" si="323"/>
        <v>0</v>
      </c>
      <c r="UH55" s="95">
        <f t="shared" si="324"/>
        <v>29.90368219410275</v>
      </c>
      <c r="UI55" s="95">
        <f t="shared" si="325"/>
        <v>21409.359000000004</v>
      </c>
      <c r="UJ55" s="101">
        <f t="shared" si="326"/>
        <v>0</v>
      </c>
      <c r="UK55" s="101">
        <f t="shared" si="327"/>
        <v>28.815196078500062</v>
      </c>
      <c r="UL55" s="90" t="e">
        <f>(#REF!+#REF!+HZ55+LT55+LZ55+MF55+ML55+QL55+QN55+SN55+TC55+TM55+UC55)/I55</f>
        <v>#REF!</v>
      </c>
      <c r="UN55" s="90" t="e">
        <f>#REF!/I55</f>
        <v>#REF!</v>
      </c>
      <c r="UO55" s="90" t="e">
        <f>#REF!/I55</f>
        <v>#REF!</v>
      </c>
      <c r="UP55" s="90">
        <v>1.1499999999999999</v>
      </c>
      <c r="UQ55" s="90" t="e">
        <f t="shared" si="328"/>
        <v>#REF!</v>
      </c>
      <c r="UR55" s="90">
        <f t="shared" si="329"/>
        <v>16912.075000000001</v>
      </c>
      <c r="US55" s="90">
        <f t="shared" si="330"/>
        <v>20102.920000000006</v>
      </c>
      <c r="UT55" s="90">
        <f t="shared" si="331"/>
        <v>20102.920000000006</v>
      </c>
      <c r="UU55" s="90">
        <f t="shared" si="516"/>
        <v>20754.690000000006</v>
      </c>
      <c r="UV55" s="90">
        <f t="shared" si="333"/>
        <v>20533.270000000004</v>
      </c>
      <c r="UW55" s="90">
        <f t="shared" si="334"/>
        <v>7.2299999999999995</v>
      </c>
      <c r="UX55" s="90">
        <f t="shared" si="335"/>
        <v>4.62</v>
      </c>
      <c r="UY55" s="90">
        <f t="shared" si="336"/>
        <v>4.4356341308490368</v>
      </c>
      <c r="UZ55" s="100">
        <f t="shared" si="337"/>
        <v>4.3804299848899992</v>
      </c>
      <c r="VA55" s="90">
        <f t="shared" si="338"/>
        <v>0.57999999999999996</v>
      </c>
      <c r="VB55" s="90">
        <f t="shared" si="339"/>
        <v>1.23</v>
      </c>
      <c r="VC55" s="90">
        <f t="shared" si="340"/>
        <v>0.8</v>
      </c>
      <c r="VD55" s="90">
        <f t="shared" si="341"/>
        <v>0</v>
      </c>
      <c r="VE55" s="90">
        <f t="shared" si="342"/>
        <v>0</v>
      </c>
      <c r="VF55" s="90">
        <f t="shared" si="343"/>
        <v>0</v>
      </c>
      <c r="VG55" s="90">
        <f t="shared" si="344"/>
        <v>0</v>
      </c>
      <c r="VH55" s="90">
        <f t="shared" si="345"/>
        <v>0</v>
      </c>
      <c r="VI55" s="90">
        <f t="shared" si="346"/>
        <v>0</v>
      </c>
      <c r="VJ55" s="90">
        <f t="shared" si="347"/>
        <v>0</v>
      </c>
      <c r="VK55" s="90">
        <f t="shared" si="348"/>
        <v>1.06</v>
      </c>
      <c r="VL55" s="90">
        <f t="shared" si="349"/>
        <v>4.09</v>
      </c>
      <c r="VM55" s="90">
        <f t="shared" si="350"/>
        <v>4.04</v>
      </c>
      <c r="VN55" s="90">
        <f t="shared" si="351"/>
        <v>0</v>
      </c>
      <c r="VO55" s="90">
        <f t="shared" si="352"/>
        <v>4.04</v>
      </c>
      <c r="VP55" s="97">
        <v>0</v>
      </c>
      <c r="VQ55" s="97">
        <v>4.29</v>
      </c>
      <c r="VR55" s="90">
        <f t="shared" si="353"/>
        <v>0.46</v>
      </c>
      <c r="VS55" s="90">
        <f t="shared" si="354"/>
        <v>0.16</v>
      </c>
      <c r="VT55" s="90">
        <v>0.11989898989898991</v>
      </c>
      <c r="VU55" s="90">
        <f t="shared" si="355"/>
        <v>0.1598</v>
      </c>
      <c r="VV55" s="90">
        <v>0.38175323599898991</v>
      </c>
      <c r="VW55" s="90">
        <f t="shared" si="356"/>
        <v>0.62</v>
      </c>
      <c r="VX55" s="90">
        <f t="shared" si="357"/>
        <v>15.979999999999999</v>
      </c>
      <c r="VY55" s="90">
        <f t="shared" si="358"/>
        <v>15.979999999999999</v>
      </c>
      <c r="VZ55" s="90">
        <f t="shared" si="359"/>
        <v>0</v>
      </c>
      <c r="WA55" s="90"/>
      <c r="WB55" s="90">
        <f t="shared" si="360"/>
        <v>15.979999999999999</v>
      </c>
      <c r="WC55" s="90">
        <f t="shared" si="361"/>
        <v>0</v>
      </c>
      <c r="WD55" s="90"/>
      <c r="WE55" s="90">
        <v>15.979999999999999</v>
      </c>
      <c r="WF55" s="90"/>
      <c r="WG55" s="90">
        <f t="shared" si="362"/>
        <v>22642.061999999998</v>
      </c>
      <c r="WH55" s="90">
        <f t="shared" si="363"/>
        <v>21508.541999999998</v>
      </c>
      <c r="WI55" s="90">
        <f t="shared" si="364"/>
        <v>21502.834999999999</v>
      </c>
      <c r="WJ55" s="90">
        <f t="shared" si="365"/>
        <v>16912.075000000001</v>
      </c>
      <c r="WK55" s="97">
        <v>6078.5</v>
      </c>
      <c r="WL55" s="97">
        <v>4.29</v>
      </c>
      <c r="WM55" s="90">
        <f t="shared" si="366"/>
        <v>6078.5</v>
      </c>
      <c r="WN55" s="90">
        <f t="shared" si="367"/>
        <v>4.29</v>
      </c>
      <c r="WO55" s="90"/>
      <c r="WP55" s="97">
        <v>15.979999999999999</v>
      </c>
      <c r="WQ55" s="90">
        <f t="shared" si="368"/>
        <v>15.979999999999999</v>
      </c>
      <c r="WR55" s="91">
        <f t="shared" si="369"/>
        <v>105.75777630708139</v>
      </c>
      <c r="WS55" s="91">
        <f t="shared" si="370"/>
        <v>105.75777630708139</v>
      </c>
      <c r="WT55" s="90">
        <f t="shared" si="371"/>
        <v>22642.06</v>
      </c>
      <c r="WU55" s="90">
        <f t="shared" si="372"/>
        <v>22636.355</v>
      </c>
      <c r="WV55" s="90">
        <f t="shared" si="373"/>
        <v>5.7050000000017462</v>
      </c>
      <c r="WW55" s="90"/>
      <c r="WX55" s="90"/>
      <c r="WY55" s="90"/>
      <c r="WZ55" s="90">
        <f t="shared" si="374"/>
        <v>3.9807898989898982</v>
      </c>
      <c r="XA55" s="90">
        <v>0</v>
      </c>
      <c r="XB55" s="90">
        <f t="shared" si="375"/>
        <v>3.9807898989898982</v>
      </c>
      <c r="XC55" s="90">
        <f t="shared" si="376"/>
        <v>0.47819999999999996</v>
      </c>
      <c r="XD55" s="90">
        <f t="shared" si="377"/>
        <v>0.16101010101010099</v>
      </c>
      <c r="XE55" s="90"/>
      <c r="XF55" s="90">
        <f t="shared" si="378"/>
        <v>15.94</v>
      </c>
      <c r="XG55" s="90">
        <v>4.2812151704425156</v>
      </c>
      <c r="XH55" s="20">
        <v>14.56</v>
      </c>
      <c r="XI55" s="20">
        <v>0</v>
      </c>
      <c r="XJ55" s="20"/>
      <c r="XK55" s="20"/>
      <c r="XL55" s="20">
        <v>0.55000000000000004</v>
      </c>
      <c r="XM55" s="20">
        <f t="shared" ref="XM55:XM60" si="620">XH55+XI55+XJ55+XK55+XL55</f>
        <v>15.110000000000001</v>
      </c>
      <c r="XN55" s="91">
        <f t="shared" si="380"/>
        <v>105.75777630708139</v>
      </c>
      <c r="XO55" s="20">
        <f t="shared" si="381"/>
        <v>15.110000000000001</v>
      </c>
      <c r="XP55" s="90">
        <f t="shared" ref="XP55:XP60" si="621">XO55-WW55</f>
        <v>15.110000000000001</v>
      </c>
      <c r="XQ55" s="91">
        <f t="shared" si="383"/>
        <v>105.75777630708139</v>
      </c>
      <c r="XR55" s="102"/>
      <c r="XS55" s="90">
        <f t="shared" si="384"/>
        <v>4.09</v>
      </c>
      <c r="XT55" s="90">
        <f t="shared" si="385"/>
        <v>7.23</v>
      </c>
      <c r="XU55" s="90">
        <f t="shared" si="386"/>
        <v>4.62</v>
      </c>
      <c r="XV55" s="90">
        <f t="shared" si="387"/>
        <v>1.38</v>
      </c>
      <c r="XW55" s="90">
        <f t="shared" si="388"/>
        <v>0.57999999999999996</v>
      </c>
      <c r="XX55" s="90">
        <f t="shared" si="389"/>
        <v>0.8</v>
      </c>
      <c r="XY55" s="90">
        <f t="shared" si="390"/>
        <v>1.23</v>
      </c>
      <c r="XZ55" s="90">
        <f t="shared" si="391"/>
        <v>0</v>
      </c>
      <c r="YA55" s="90">
        <f t="shared" si="392"/>
        <v>0</v>
      </c>
      <c r="YB55" s="90">
        <f t="shared" si="552"/>
        <v>0</v>
      </c>
      <c r="YC55" s="90">
        <f t="shared" si="552"/>
        <v>0</v>
      </c>
      <c r="YD55" s="90">
        <f t="shared" si="394"/>
        <v>1.23</v>
      </c>
      <c r="YE55" s="90">
        <f t="shared" si="395"/>
        <v>4.04</v>
      </c>
      <c r="YF55" s="90">
        <f t="shared" si="396"/>
        <v>0.62</v>
      </c>
      <c r="YG55" s="90">
        <f t="shared" si="397"/>
        <v>15.979999999999999</v>
      </c>
      <c r="YI55" s="103" t="s">
        <v>462</v>
      </c>
      <c r="YK55" s="90">
        <f t="shared" si="398"/>
        <v>1.07</v>
      </c>
      <c r="YL55" s="90">
        <f t="shared" si="553"/>
        <v>0.57999999999999996</v>
      </c>
      <c r="YM55" s="90">
        <f t="shared" si="553"/>
        <v>1.23</v>
      </c>
      <c r="YN55" s="90">
        <f t="shared" si="400"/>
        <v>4.09</v>
      </c>
      <c r="YO55" s="90">
        <f t="shared" si="401"/>
        <v>9.01</v>
      </c>
      <c r="YP55" s="90">
        <f t="shared" si="402"/>
        <v>0</v>
      </c>
      <c r="YQ55" s="90">
        <f t="shared" si="403"/>
        <v>15.979999999999999</v>
      </c>
      <c r="YR55" s="90">
        <f t="shared" si="404"/>
        <v>0</v>
      </c>
      <c r="YS55" s="104">
        <f t="shared" si="405"/>
        <v>15.98</v>
      </c>
      <c r="YT55" s="104">
        <f t="shared" si="406"/>
        <v>0</v>
      </c>
      <c r="YY55" s="90">
        <f t="shared" si="407"/>
        <v>8.7100000000000009</v>
      </c>
      <c r="YZ55" s="90">
        <f t="shared" si="408"/>
        <v>4.9800000000000004</v>
      </c>
      <c r="ZA55" s="90">
        <f t="shared" si="409"/>
        <v>0.61</v>
      </c>
      <c r="ZB55" s="90">
        <f t="shared" si="410"/>
        <v>2.3199999999999998</v>
      </c>
      <c r="ZC55" s="90">
        <f t="shared" si="411"/>
        <v>0.8</v>
      </c>
      <c r="ZD55" s="90">
        <f t="shared" si="412"/>
        <v>0</v>
      </c>
      <c r="ZE55" s="90">
        <f t="shared" si="413"/>
        <v>0</v>
      </c>
      <c r="ZF55" s="90">
        <f t="shared" si="414"/>
        <v>0</v>
      </c>
      <c r="ZG55" s="90">
        <f t="shared" si="415"/>
        <v>0</v>
      </c>
      <c r="ZH55" s="90">
        <f t="shared" si="416"/>
        <v>0</v>
      </c>
      <c r="ZI55" s="90">
        <f t="shared" si="417"/>
        <v>0</v>
      </c>
      <c r="ZJ55" s="90">
        <f t="shared" si="418"/>
        <v>0</v>
      </c>
      <c r="ZK55" s="90">
        <f t="shared" si="419"/>
        <v>0</v>
      </c>
      <c r="ZL55" s="90">
        <f t="shared" si="420"/>
        <v>0</v>
      </c>
      <c r="ZM55" s="90">
        <f t="shared" si="421"/>
        <v>4.6100000000000003</v>
      </c>
      <c r="ZN55" s="90">
        <f t="shared" si="422"/>
        <v>9.73</v>
      </c>
      <c r="ZO55" s="90">
        <f t="shared" si="423"/>
        <v>5.27</v>
      </c>
      <c r="ZP55" s="90">
        <f t="shared" si="424"/>
        <v>7.41</v>
      </c>
      <c r="ZQ55" s="90">
        <f t="shared" si="425"/>
        <v>0</v>
      </c>
      <c r="ZR55" s="90">
        <f t="shared" si="426"/>
        <v>7.41</v>
      </c>
      <c r="ZS55" s="97">
        <v>227</v>
      </c>
      <c r="ZT55" s="97">
        <v>230.38</v>
      </c>
      <c r="ZU55" s="90">
        <f t="shared" si="427"/>
        <v>0.64</v>
      </c>
      <c r="ZV55" s="90">
        <f t="shared" si="428"/>
        <v>0.22</v>
      </c>
      <c r="ZW55" s="90">
        <v>0.11989898989898991</v>
      </c>
      <c r="ZX55" s="90">
        <f t="shared" si="429"/>
        <v>0.21590000000000001</v>
      </c>
      <c r="ZY55" s="90">
        <v>0.38175323599898991</v>
      </c>
      <c r="ZZ55" s="90">
        <f t="shared" si="430"/>
        <v>0.86</v>
      </c>
      <c r="AAA55" s="90">
        <f t="shared" si="431"/>
        <v>21.59</v>
      </c>
      <c r="AAB55" s="90">
        <f t="shared" si="432"/>
        <v>21.59</v>
      </c>
      <c r="AAC55" s="90">
        <f t="shared" si="433"/>
        <v>0</v>
      </c>
      <c r="AAD55" s="90"/>
      <c r="AAE55" s="90">
        <f t="shared" si="434"/>
        <v>21.59</v>
      </c>
      <c r="AAF55" s="90">
        <v>15.979999999999999</v>
      </c>
      <c r="AAG55" s="90">
        <f t="shared" si="435"/>
        <v>135.10638297872342</v>
      </c>
      <c r="AAH55" s="90">
        <f t="shared" si="436"/>
        <v>0</v>
      </c>
      <c r="AAI55" s="90">
        <v>0</v>
      </c>
      <c r="AAJ55" s="90"/>
      <c r="AAK55" s="1">
        <v>21.44</v>
      </c>
      <c r="AAL55" s="104">
        <f t="shared" si="437"/>
        <v>0.14999999999999858</v>
      </c>
      <c r="AAM55" s="103" t="s">
        <v>560</v>
      </c>
      <c r="AAN55" s="105">
        <v>8.8000000000000007</v>
      </c>
      <c r="AAO55" s="90">
        <f t="shared" si="438"/>
        <v>9.4800000000000022</v>
      </c>
      <c r="AAP55" s="90">
        <v>4.97</v>
      </c>
      <c r="AAQ55" s="90">
        <f t="shared" si="439"/>
        <v>4.9800000000000004</v>
      </c>
      <c r="AAR55" s="90">
        <v>0.61</v>
      </c>
      <c r="AAS55" s="90">
        <f t="shared" si="440"/>
        <v>0.92</v>
      </c>
      <c r="AAT55" s="90">
        <f t="shared" si="441"/>
        <v>150.81967213114754</v>
      </c>
      <c r="AAU55" s="90">
        <v>2.42</v>
      </c>
      <c r="AAV55" s="90">
        <f t="shared" si="442"/>
        <v>2.3199999999999998</v>
      </c>
      <c r="AAW55" s="90">
        <f t="shared" si="443"/>
        <v>95.867768595041312</v>
      </c>
      <c r="AAX55" s="90">
        <f t="shared" si="444"/>
        <v>0.46</v>
      </c>
      <c r="AAY55" s="90">
        <f t="shared" si="445"/>
        <v>0.8</v>
      </c>
      <c r="AAZ55" s="90">
        <f t="shared" si="446"/>
        <v>0</v>
      </c>
      <c r="ABA55" s="90">
        <f t="shared" si="447"/>
        <v>0</v>
      </c>
      <c r="ABB55" s="90">
        <f t="shared" si="448"/>
        <v>0</v>
      </c>
      <c r="ABC55" s="90">
        <v>0</v>
      </c>
      <c r="ABD55" s="90">
        <f t="shared" si="449"/>
        <v>0</v>
      </c>
      <c r="ABE55" s="90"/>
      <c r="ABF55" s="90">
        <v>0</v>
      </c>
      <c r="ABG55" s="90">
        <f t="shared" si="450"/>
        <v>0</v>
      </c>
      <c r="ABH55" s="90"/>
      <c r="ABI55" s="90">
        <f t="shared" si="451"/>
        <v>0</v>
      </c>
      <c r="ABJ55" s="90">
        <f t="shared" si="452"/>
        <v>0</v>
      </c>
      <c r="ABK55" s="90">
        <v>0</v>
      </c>
      <c r="ABL55" s="90">
        <f t="shared" si="453"/>
        <v>0</v>
      </c>
      <c r="ABM55" s="90">
        <f t="shared" si="454"/>
        <v>0</v>
      </c>
      <c r="ABN55" s="90">
        <f t="shared" si="455"/>
        <v>0</v>
      </c>
      <c r="ABO55" s="90">
        <v>4.3899999999999997</v>
      </c>
      <c r="ABP55" s="90">
        <f t="shared" si="456"/>
        <v>4.6100000000000003</v>
      </c>
      <c r="ABQ55" s="90">
        <f t="shared" si="457"/>
        <v>105.01138952164011</v>
      </c>
      <c r="ABR55" s="90">
        <f t="shared" si="458"/>
        <v>9.73</v>
      </c>
      <c r="ABS55" s="90">
        <f t="shared" si="459"/>
        <v>5.27</v>
      </c>
      <c r="ABT55" s="90">
        <v>7.41</v>
      </c>
      <c r="ABU55" s="90">
        <f t="shared" si="460"/>
        <v>7.41</v>
      </c>
      <c r="ABV55" s="90">
        <f t="shared" si="461"/>
        <v>100</v>
      </c>
      <c r="ABW55" s="90">
        <f t="shared" si="462"/>
        <v>0</v>
      </c>
      <c r="ABX55" s="90">
        <f t="shared" si="463"/>
        <v>7.41</v>
      </c>
      <c r="ABY55" s="97">
        <v>227</v>
      </c>
      <c r="ABZ55" s="97">
        <v>230.38</v>
      </c>
      <c r="ACA55" s="90">
        <f t="shared" si="464"/>
        <v>0.64</v>
      </c>
      <c r="ACB55" s="90">
        <f t="shared" si="465"/>
        <v>0.22</v>
      </c>
      <c r="ACC55" s="90">
        <v>0.11989898989898991</v>
      </c>
      <c r="ACD55" s="90">
        <f t="shared" si="466"/>
        <v>0.21900000000000003</v>
      </c>
      <c r="ACE55" s="90">
        <v>0.38175323599898991</v>
      </c>
      <c r="ACF55" s="90">
        <v>0.83</v>
      </c>
      <c r="ACG55" s="90">
        <f t="shared" si="467"/>
        <v>0.86</v>
      </c>
      <c r="ACH55" s="90">
        <f t="shared" si="468"/>
        <v>103.6144578313253</v>
      </c>
      <c r="ACI55" s="90">
        <f t="shared" si="469"/>
        <v>22.360000000000003</v>
      </c>
      <c r="ACJ55" s="90">
        <f t="shared" si="470"/>
        <v>21.900000000000002</v>
      </c>
      <c r="ACK55" s="90">
        <f t="shared" si="471"/>
        <v>-0.46000000000000085</v>
      </c>
      <c r="ACL55" s="90"/>
      <c r="ACM55" s="90">
        <f t="shared" si="472"/>
        <v>22.360000000000003</v>
      </c>
      <c r="ACN55" s="90">
        <f t="shared" si="473"/>
        <v>0</v>
      </c>
      <c r="ACO55" s="90">
        <f t="shared" si="474"/>
        <v>22.360000000000003</v>
      </c>
      <c r="ACP55" s="90">
        <v>21.43</v>
      </c>
      <c r="ACQ55" s="90">
        <f t="shared" si="475"/>
        <v>104.33971068595429</v>
      </c>
      <c r="ACR55" s="90">
        <f t="shared" si="476"/>
        <v>0</v>
      </c>
      <c r="ACS55" s="90">
        <v>0</v>
      </c>
      <c r="ACT55" s="90"/>
      <c r="ACU55" s="90">
        <f t="shared" si="477"/>
        <v>22.522929999999999</v>
      </c>
      <c r="ACV55" s="90">
        <f t="shared" si="478"/>
        <v>0.1629299999999958</v>
      </c>
      <c r="ACX55" s="106" t="s">
        <v>561</v>
      </c>
      <c r="ACY55" s="107">
        <v>12500</v>
      </c>
      <c r="ACZ55" s="107">
        <v>85000</v>
      </c>
      <c r="ADB55" s="90">
        <f t="shared" si="479"/>
        <v>4.6100000000000003</v>
      </c>
      <c r="ADC55" s="90">
        <f t="shared" si="480"/>
        <v>9.48</v>
      </c>
      <c r="ADD55" s="90">
        <f t="shared" si="481"/>
        <v>4.9800000000000004</v>
      </c>
      <c r="ADE55" s="90">
        <f t="shared" si="517"/>
        <v>2.1800000000000002</v>
      </c>
      <c r="ADF55" s="90">
        <f t="shared" si="483"/>
        <v>0.92</v>
      </c>
      <c r="ADG55" s="90">
        <f t="shared" si="554"/>
        <v>0.46</v>
      </c>
      <c r="ADH55" s="90">
        <f t="shared" si="554"/>
        <v>0.8</v>
      </c>
      <c r="ADI55" s="90">
        <f t="shared" si="554"/>
        <v>0</v>
      </c>
      <c r="ADJ55" s="90">
        <f t="shared" si="485"/>
        <v>2.3199999999999998</v>
      </c>
      <c r="ADK55" s="90">
        <f t="shared" si="486"/>
        <v>0</v>
      </c>
      <c r="ADL55" s="90">
        <f t="shared" si="487"/>
        <v>0</v>
      </c>
      <c r="ADM55" s="90">
        <f t="shared" si="555"/>
        <v>0</v>
      </c>
      <c r="ADN55" s="90">
        <f t="shared" si="555"/>
        <v>0</v>
      </c>
      <c r="ADO55" s="90">
        <f t="shared" si="489"/>
        <v>2.3199999999999998</v>
      </c>
      <c r="ADP55" s="90">
        <f t="shared" si="490"/>
        <v>7.41</v>
      </c>
      <c r="ADQ55" s="90">
        <f t="shared" si="491"/>
        <v>0.86</v>
      </c>
      <c r="ADR55" s="90">
        <f t="shared" si="492"/>
        <v>22.36</v>
      </c>
      <c r="ADU55" s="90">
        <f t="shared" si="493"/>
        <v>1.1499999999999999</v>
      </c>
      <c r="ADV55" s="90">
        <f t="shared" si="494"/>
        <v>0.92</v>
      </c>
      <c r="ADW55" s="90">
        <f t="shared" si="495"/>
        <v>2.3199999999999998</v>
      </c>
      <c r="ADX55" s="90">
        <f t="shared" si="496"/>
        <v>4.6100000000000003</v>
      </c>
      <c r="ADY55" s="90">
        <f t="shared" si="497"/>
        <v>12.9</v>
      </c>
      <c r="ADZ55" s="90">
        <f t="shared" si="498"/>
        <v>0</v>
      </c>
      <c r="AEA55" s="90">
        <f t="shared" si="499"/>
        <v>22.360000000000003</v>
      </c>
      <c r="AEB55" s="90">
        <f t="shared" si="500"/>
        <v>0</v>
      </c>
      <c r="AEC55" s="104">
        <f t="shared" si="501"/>
        <v>21.9</v>
      </c>
      <c r="AED55" s="104">
        <f t="shared" si="502"/>
        <v>0.46000000000000441</v>
      </c>
      <c r="AEG55" s="1">
        <v>8.8000000000000007</v>
      </c>
      <c r="AEH55" s="1">
        <v>4.97</v>
      </c>
      <c r="AEI55" s="1">
        <v>0.61</v>
      </c>
      <c r="AEJ55" s="1">
        <v>2.42</v>
      </c>
      <c r="AEK55" s="1">
        <v>0</v>
      </c>
      <c r="AEL55" s="1">
        <v>0.8</v>
      </c>
      <c r="AEM55" s="1">
        <v>0</v>
      </c>
      <c r="AEN55" s="1">
        <v>0</v>
      </c>
      <c r="AEO55" s="1">
        <v>0</v>
      </c>
      <c r="AEP55" s="1">
        <v>0</v>
      </c>
      <c r="AEQ55" s="1">
        <v>0</v>
      </c>
      <c r="AER55" s="1">
        <v>0</v>
      </c>
      <c r="AES55" s="1">
        <v>0</v>
      </c>
      <c r="AET55" s="1">
        <v>0</v>
      </c>
      <c r="AEU55" s="1">
        <v>0</v>
      </c>
      <c r="AEV55" s="1">
        <v>0</v>
      </c>
      <c r="AEW55" s="1">
        <v>4.3899999999999997</v>
      </c>
      <c r="AEX55" s="1">
        <v>9.83</v>
      </c>
      <c r="AEY55" s="1">
        <v>5.27</v>
      </c>
      <c r="AEZ55" s="1">
        <v>7.41</v>
      </c>
      <c r="AFA55" s="1">
        <v>0</v>
      </c>
      <c r="AFB55" s="1">
        <v>7.41</v>
      </c>
      <c r="AFC55" s="1">
        <v>227</v>
      </c>
      <c r="AFD55" s="1">
        <v>230.38</v>
      </c>
      <c r="AFE55" s="1">
        <v>0.62</v>
      </c>
      <c r="AFF55" s="1">
        <v>0.21</v>
      </c>
      <c r="AFG55" s="1">
        <v>0.11989898989898991</v>
      </c>
      <c r="AFH55" s="1">
        <v>0.21429999999999999</v>
      </c>
      <c r="AFI55" s="1">
        <v>0.38175323599898991</v>
      </c>
      <c r="AFJ55" s="1">
        <v>0.83</v>
      </c>
      <c r="AFK55" s="1">
        <v>21.43</v>
      </c>
      <c r="AFL55" s="1">
        <v>21.43</v>
      </c>
      <c r="AFM55" s="1">
        <v>0</v>
      </c>
      <c r="AFO55" s="1">
        <v>21.43</v>
      </c>
      <c r="AFP55" s="1">
        <v>0</v>
      </c>
      <c r="AFQ55" s="1">
        <v>21.44</v>
      </c>
      <c r="AFX55" s="1">
        <v>22.09</v>
      </c>
    </row>
    <row r="56" spans="1:856" s="1" customFormat="1" ht="63.75" customHeight="1">
      <c r="A56" s="88">
        <v>48</v>
      </c>
      <c r="B56" s="20"/>
      <c r="C56" s="89" t="s">
        <v>562</v>
      </c>
      <c r="D56" s="20"/>
      <c r="E56" s="20" t="s">
        <v>536</v>
      </c>
      <c r="F56" s="20" t="s">
        <v>537</v>
      </c>
      <c r="G56" s="20">
        <v>1.2</v>
      </c>
      <c r="H56" s="20">
        <v>1389.7</v>
      </c>
      <c r="I56" s="20">
        <f>1389.7-0.2+1.4-1.4</f>
        <v>1389.5</v>
      </c>
      <c r="J56" s="20">
        <f t="shared" si="0"/>
        <v>1667.3999999999999</v>
      </c>
      <c r="K56" s="20">
        <v>27</v>
      </c>
      <c r="L56" s="20">
        <v>67</v>
      </c>
      <c r="M56" s="20">
        <v>75</v>
      </c>
      <c r="N56" s="20">
        <v>1849.76</v>
      </c>
      <c r="O56" s="90">
        <f t="shared" si="1"/>
        <v>1.33</v>
      </c>
      <c r="P56" s="20">
        <v>5080</v>
      </c>
      <c r="Q56" s="90">
        <f t="shared" si="613"/>
        <v>423.33333333333331</v>
      </c>
      <c r="R56" s="90">
        <f t="shared" si="2"/>
        <v>0.3</v>
      </c>
      <c r="S56" s="20">
        <v>114.4</v>
      </c>
      <c r="T56" s="20">
        <v>2.6</v>
      </c>
      <c r="U56" s="20">
        <v>3.13</v>
      </c>
      <c r="V56" s="91">
        <f t="shared" si="3"/>
        <v>930.99</v>
      </c>
      <c r="W56" s="20">
        <v>2.1000000000000001E-2</v>
      </c>
      <c r="X56" s="20">
        <f t="shared" si="4"/>
        <v>33.42</v>
      </c>
      <c r="Y56" s="91">
        <f t="shared" si="5"/>
        <v>80.290000000000006</v>
      </c>
      <c r="Z56" s="20">
        <v>1.7999999999999999E-2</v>
      </c>
      <c r="AA56" s="20">
        <f t="shared" si="561"/>
        <v>171.12</v>
      </c>
      <c r="AB56" s="91">
        <f t="shared" si="562"/>
        <v>352.37</v>
      </c>
      <c r="AC56" s="91">
        <f t="shared" si="6"/>
        <v>1363.65</v>
      </c>
      <c r="AD56" s="90">
        <f t="shared" si="7"/>
        <v>0.98</v>
      </c>
      <c r="AE56" s="92">
        <f t="shared" si="8"/>
        <v>16363.800000000001</v>
      </c>
      <c r="AF56" s="20">
        <v>76</v>
      </c>
      <c r="AG56" s="20">
        <v>70</v>
      </c>
      <c r="AH56" s="20">
        <v>70</v>
      </c>
      <c r="AI56" s="20">
        <v>68</v>
      </c>
      <c r="AJ56" s="20">
        <v>1.6</v>
      </c>
      <c r="AK56" s="90">
        <f t="shared" si="9"/>
        <v>9.33</v>
      </c>
      <c r="AL56" s="90">
        <v>391.01</v>
      </c>
      <c r="AM56" s="90">
        <f t="shared" si="10"/>
        <v>3648.12</v>
      </c>
      <c r="AN56" s="20">
        <v>74</v>
      </c>
      <c r="AO56" s="20">
        <v>69</v>
      </c>
      <c r="AP56" s="20">
        <v>76</v>
      </c>
      <c r="AQ56" s="20">
        <v>74</v>
      </c>
      <c r="AR56" s="20">
        <v>69</v>
      </c>
      <c r="AS56" s="20">
        <v>73</v>
      </c>
      <c r="AT56" s="20">
        <f t="shared" si="11"/>
        <v>6</v>
      </c>
      <c r="AU56" s="20">
        <v>1.6</v>
      </c>
      <c r="AV56" s="90">
        <f t="shared" si="12"/>
        <v>10.130000000000001</v>
      </c>
      <c r="AW56" s="90">
        <f t="shared" si="551"/>
        <v>188.88</v>
      </c>
      <c r="AX56" s="90">
        <v>1838.43</v>
      </c>
      <c r="AY56" s="90">
        <f t="shared" si="14"/>
        <v>1.32</v>
      </c>
      <c r="AZ56" s="90">
        <f t="shared" si="15"/>
        <v>3962.23</v>
      </c>
      <c r="BA56" s="90">
        <f t="shared" si="16"/>
        <v>-2123.8000000000002</v>
      </c>
      <c r="BB56" s="90">
        <v>1838.43</v>
      </c>
      <c r="BC56" s="90">
        <v>1.32</v>
      </c>
      <c r="BD56" s="92">
        <f t="shared" si="17"/>
        <v>22061.16</v>
      </c>
      <c r="BE56" s="90"/>
      <c r="BF56" s="90">
        <f t="shared" si="18"/>
        <v>0</v>
      </c>
      <c r="BG56" s="90">
        <v>391.01</v>
      </c>
      <c r="BH56" s="90">
        <f t="shared" si="19"/>
        <v>3960.93</v>
      </c>
      <c r="BI56" s="90">
        <f t="shared" si="20"/>
        <v>2.85</v>
      </c>
      <c r="BJ56" s="90">
        <f t="shared" si="21"/>
        <v>215.90909090909091</v>
      </c>
      <c r="BK56" s="90">
        <f t="shared" si="22"/>
        <v>3960.93</v>
      </c>
      <c r="BL56" s="90">
        <f t="shared" si="23"/>
        <v>2.85</v>
      </c>
      <c r="BM56" s="90"/>
      <c r="BN56" s="90">
        <f t="shared" si="24"/>
        <v>0</v>
      </c>
      <c r="BO56" s="90">
        <f t="shared" si="25"/>
        <v>3960.93</v>
      </c>
      <c r="BP56" s="90">
        <f t="shared" si="26"/>
        <v>2.8506153292551275</v>
      </c>
      <c r="BQ56" s="90"/>
      <c r="BR56" s="90">
        <f t="shared" si="27"/>
        <v>0</v>
      </c>
      <c r="BS56" s="90">
        <f t="shared" si="28"/>
        <v>3960.93</v>
      </c>
      <c r="BT56" s="90">
        <f t="shared" si="29"/>
        <v>2.8506153292551275</v>
      </c>
      <c r="BU56" s="90"/>
      <c r="BV56" s="93">
        <v>1.7027650000000001</v>
      </c>
      <c r="BW56" s="90">
        <f t="shared" si="30"/>
        <v>2365.9919675000001</v>
      </c>
      <c r="BX56" s="90">
        <f t="shared" si="31"/>
        <v>2507.9514855500001</v>
      </c>
      <c r="BY56" s="90"/>
      <c r="BZ56" s="90">
        <v>3245.5983509300004</v>
      </c>
      <c r="CA56" s="90">
        <v>0.37305430897000003</v>
      </c>
      <c r="CB56" s="90">
        <f t="shared" si="556"/>
        <v>518.35896231381503</v>
      </c>
      <c r="CC56" s="90">
        <v>0.37305430897000003</v>
      </c>
      <c r="CD56" s="90">
        <f t="shared" si="563"/>
        <v>518.35896231381503</v>
      </c>
      <c r="CE56" s="90">
        <f t="shared" si="564"/>
        <v>518.35896231381503</v>
      </c>
      <c r="CF56" s="90">
        <v>502.71261113871253</v>
      </c>
      <c r="CG56" s="90">
        <f>I56*0.3617939</f>
        <v>502.71262404999999</v>
      </c>
      <c r="CH56" s="90">
        <f t="shared" si="565"/>
        <v>502.71</v>
      </c>
      <c r="CI56" s="90">
        <f t="shared" si="601"/>
        <v>529.49369871306203</v>
      </c>
      <c r="CJ56" s="90">
        <f t="shared" si="36"/>
        <v>530.36</v>
      </c>
      <c r="CK56" s="90">
        <f t="shared" si="37"/>
        <v>571.25604527663711</v>
      </c>
      <c r="CL56" s="90">
        <f t="shared" si="38"/>
        <v>571.25604527663711</v>
      </c>
      <c r="CM56" s="94">
        <v>0.14899999999999999</v>
      </c>
      <c r="CN56" s="90">
        <f t="shared" si="39"/>
        <v>352.53280315749998</v>
      </c>
      <c r="CO56" s="90">
        <f t="shared" si="40"/>
        <v>373.68477134695001</v>
      </c>
      <c r="CP56" s="90">
        <v>483.59475450000002</v>
      </c>
      <c r="CQ56" s="90">
        <v>5.0232736819999999E-2</v>
      </c>
      <c r="CR56" s="90">
        <f t="shared" si="557"/>
        <v>69.79838781139</v>
      </c>
      <c r="CS56" s="90">
        <v>5.0232736819999999E-2</v>
      </c>
      <c r="CT56" s="90">
        <f t="shared" si="566"/>
        <v>69.79838781139</v>
      </c>
      <c r="CU56" s="90">
        <f t="shared" si="567"/>
        <v>69.79838781139</v>
      </c>
      <c r="CV56" s="90">
        <f>I56*0.1037792</f>
        <v>144.20119840000001</v>
      </c>
      <c r="CW56" s="90">
        <f t="shared" si="568"/>
        <v>144.19999999999999</v>
      </c>
      <c r="CX56" s="90">
        <f t="shared" si="602"/>
        <v>151.8827780518063</v>
      </c>
      <c r="CY56" s="90">
        <f t="shared" si="45"/>
        <v>152.13</v>
      </c>
      <c r="CZ56" s="90">
        <f t="shared" si="46"/>
        <v>163.86211081715314</v>
      </c>
      <c r="DA56" s="90">
        <f t="shared" si="47"/>
        <v>163.86211081715314</v>
      </c>
      <c r="DB56" s="93">
        <v>1.1979820000000001</v>
      </c>
      <c r="DC56" s="90">
        <f t="shared" si="48"/>
        <v>1664.5959890000001</v>
      </c>
      <c r="DD56" s="90">
        <f t="shared" si="49"/>
        <v>1764.4717483400002</v>
      </c>
      <c r="DE56" s="90"/>
      <c r="DF56" s="90">
        <v>941.61140947458091</v>
      </c>
      <c r="DG56" s="90">
        <v>0.28219173505</v>
      </c>
      <c r="DH56" s="90">
        <f t="shared" si="558"/>
        <v>392.10541585197501</v>
      </c>
      <c r="DI56" s="90">
        <v>0.28219173505</v>
      </c>
      <c r="DJ56" s="90">
        <f t="shared" si="569"/>
        <v>392.10541585197501</v>
      </c>
      <c r="DK56" s="90">
        <f t="shared" si="570"/>
        <v>392.10541585197501</v>
      </c>
      <c r="DL56" s="90">
        <f>I56*0.2284958</f>
        <v>317.49491410000002</v>
      </c>
      <c r="DM56" s="90">
        <f t="shared" si="571"/>
        <v>317.49</v>
      </c>
      <c r="DN56" s="90">
        <f t="shared" si="603"/>
        <v>334.40543137079044</v>
      </c>
      <c r="DO56" s="90">
        <f t="shared" si="54"/>
        <v>334.95</v>
      </c>
      <c r="DP56" s="90">
        <f t="shared" si="55"/>
        <v>360.78073206198303</v>
      </c>
      <c r="DQ56" s="90">
        <f t="shared" si="56"/>
        <v>360.78073206198303</v>
      </c>
      <c r="DR56" s="93">
        <v>4.2594E-2</v>
      </c>
      <c r="DS56" s="90">
        <f t="shared" si="57"/>
        <v>59.184362999999998</v>
      </c>
      <c r="DT56" s="90">
        <f t="shared" si="58"/>
        <v>62.735424780000002</v>
      </c>
      <c r="DU56" s="90">
        <v>35.614798535113458</v>
      </c>
      <c r="DV56" s="90">
        <v>1.366632888E-2</v>
      </c>
      <c r="DW56" s="90">
        <f t="shared" si="559"/>
        <v>18.98936397876</v>
      </c>
      <c r="DX56" s="90">
        <v>1.366632888E-2</v>
      </c>
      <c r="DY56" s="90">
        <f t="shared" si="572"/>
        <v>18.98936397876</v>
      </c>
      <c r="DZ56" s="90">
        <f t="shared" si="573"/>
        <v>18.98936397876</v>
      </c>
      <c r="EA56" s="90">
        <f t="shared" si="574"/>
        <v>18.989999999999998</v>
      </c>
      <c r="EB56" s="90">
        <f t="shared" si="604"/>
        <v>20.001761131787802</v>
      </c>
      <c r="EC56" s="90">
        <f t="shared" si="63"/>
        <v>20.03</v>
      </c>
      <c r="ED56" s="90">
        <f t="shared" si="64"/>
        <v>21.579344552134103</v>
      </c>
      <c r="EE56" s="90">
        <f t="shared" si="65"/>
        <v>21.579344552134103</v>
      </c>
      <c r="EF56" s="94">
        <v>0.85293354333000004</v>
      </c>
      <c r="EG56" s="90">
        <f t="shared" si="66"/>
        <v>1422.181390148442</v>
      </c>
      <c r="EH56" s="90">
        <f t="shared" si="67"/>
        <v>1507.5122735573486</v>
      </c>
      <c r="EI56" s="90">
        <v>1217.5662601485901</v>
      </c>
      <c r="EJ56" s="90">
        <v>0.13912706999999999</v>
      </c>
      <c r="EK56" s="90">
        <f>$J56*EJ56</f>
        <v>231.98047651799996</v>
      </c>
      <c r="EL56" s="90">
        <v>0.16695248382</v>
      </c>
      <c r="EM56" s="90">
        <f t="shared" si="575"/>
        <v>231.98047626789</v>
      </c>
      <c r="EN56" s="90">
        <f t="shared" si="576"/>
        <v>231.98047626789</v>
      </c>
      <c r="EO56" s="90">
        <f>J56*0.135382</f>
        <v>225.73594679999999</v>
      </c>
      <c r="EP56" s="90">
        <f t="shared" si="577"/>
        <v>225.74</v>
      </c>
      <c r="EQ56" s="90">
        <f t="shared" si="605"/>
        <v>237.76711731910373</v>
      </c>
      <c r="ER56" s="90">
        <f t="shared" si="72"/>
        <v>238.16</v>
      </c>
      <c r="ES56" s="90">
        <f t="shared" si="73"/>
        <v>256.52033908366263</v>
      </c>
      <c r="ET56" s="90">
        <f t="shared" si="74"/>
        <v>256.52033908366263</v>
      </c>
      <c r="EU56" s="94">
        <v>0.14899999999999999</v>
      </c>
      <c r="EV56" s="90">
        <f t="shared" si="75"/>
        <v>211.90502713211785</v>
      </c>
      <c r="EW56" s="90">
        <f t="shared" si="76"/>
        <v>224.61932876004494</v>
      </c>
      <c r="EX56" s="90">
        <v>181.44157482367592</v>
      </c>
      <c r="EY56" s="90">
        <v>2.0730999999999999E-2</v>
      </c>
      <c r="EZ56" s="90">
        <f>$J56*EY56</f>
        <v>34.566869399999995</v>
      </c>
      <c r="FA56" s="90">
        <v>2.4876671749999999E-2</v>
      </c>
      <c r="FB56" s="90">
        <f t="shared" si="578"/>
        <v>34.566135396625</v>
      </c>
      <c r="FC56" s="90">
        <f t="shared" si="579"/>
        <v>34.566135396625</v>
      </c>
      <c r="FD56" s="90">
        <f>J56*0.041845</f>
        <v>69.772352999999995</v>
      </c>
      <c r="FE56" s="90">
        <f t="shared" si="580"/>
        <v>69.77</v>
      </c>
      <c r="FF56" s="90">
        <f t="shared" si="606"/>
        <v>73.487249824372569</v>
      </c>
      <c r="FG56" s="90">
        <f t="shared" si="81"/>
        <v>73.61</v>
      </c>
      <c r="FH56" s="90">
        <f t="shared" si="82"/>
        <v>79.283352785802876</v>
      </c>
      <c r="FI56" s="90">
        <f t="shared" si="83"/>
        <v>79.283352785802876</v>
      </c>
      <c r="FJ56" s="93">
        <v>0.49981642240000002</v>
      </c>
      <c r="FK56" s="90">
        <f t="shared" si="84"/>
        <v>833.39390270975991</v>
      </c>
      <c r="FL56" s="90">
        <f t="shared" si="85"/>
        <v>883.39753687234554</v>
      </c>
      <c r="FM56" s="90">
        <v>671.63533411055914</v>
      </c>
      <c r="FN56" s="90">
        <v>8.9680701000000002E-2</v>
      </c>
      <c r="FO56" s="90">
        <f>$J56*FN56</f>
        <v>149.53360084739998</v>
      </c>
      <c r="FP56" s="90">
        <v>0.10761684168000001</v>
      </c>
      <c r="FQ56" s="90">
        <f t="shared" si="581"/>
        <v>149.53360151436002</v>
      </c>
      <c r="FR56" s="90">
        <f t="shared" si="582"/>
        <v>149.53360151436002</v>
      </c>
      <c r="FS56" s="90">
        <f>J56*0.069578</f>
        <v>116.01435719999999</v>
      </c>
      <c r="FT56" s="90">
        <f t="shared" si="89"/>
        <v>121.58</v>
      </c>
      <c r="FU56" s="90">
        <f>J56*0.08182</f>
        <v>136.42666800000001</v>
      </c>
      <c r="FV56" s="90">
        <f t="shared" si="583"/>
        <v>136.43</v>
      </c>
      <c r="FW56" s="90">
        <f t="shared" si="607"/>
        <v>143.69880311794685</v>
      </c>
      <c r="FX56" s="90">
        <f t="shared" si="91"/>
        <v>143.93</v>
      </c>
      <c r="FY56" s="90">
        <f t="shared" si="92"/>
        <v>155.03264756438423</v>
      </c>
      <c r="FZ56" s="90">
        <f t="shared" si="93"/>
        <v>155.03264756438423</v>
      </c>
      <c r="GA56" s="94">
        <v>1.352261642E-2</v>
      </c>
      <c r="GB56" s="90">
        <f t="shared" si="94"/>
        <v>22.547610618707996</v>
      </c>
      <c r="GC56" s="90">
        <f t="shared" si="95"/>
        <v>23.900467255830478</v>
      </c>
      <c r="GD56" s="90">
        <v>19.604606026155334</v>
      </c>
      <c r="GE56" s="90">
        <v>2.4269999999999999E-3</v>
      </c>
      <c r="GF56" s="90">
        <f>$J56*GE56</f>
        <v>4.0467797999999995</v>
      </c>
      <c r="GG56" s="90">
        <v>2.9119942899999999E-3</v>
      </c>
      <c r="GH56" s="90">
        <f t="shared" si="584"/>
        <v>4.0462160659549999</v>
      </c>
      <c r="GI56" s="90">
        <f t="shared" si="585"/>
        <v>4.0462160659549999</v>
      </c>
      <c r="GJ56" s="90">
        <f t="shared" si="586"/>
        <v>4.05</v>
      </c>
      <c r="GK56" s="90">
        <f t="shared" si="608"/>
        <v>4.2657784404286785</v>
      </c>
      <c r="GL56" s="90">
        <f t="shared" si="100"/>
        <v>4.2699999999999996</v>
      </c>
      <c r="GM56" s="90">
        <f t="shared" si="101"/>
        <v>4.6022298807868944</v>
      </c>
      <c r="GN56" s="90">
        <f t="shared" si="102"/>
        <v>4.6022298807868944</v>
      </c>
      <c r="GO56" s="90">
        <v>5360.4</v>
      </c>
      <c r="GP56" s="108">
        <f>GO56/12-0.9</f>
        <v>445.8</v>
      </c>
      <c r="GQ56" s="90">
        <f t="shared" si="614"/>
        <v>4403.7</v>
      </c>
      <c r="GR56" s="90">
        <f t="shared" si="104"/>
        <v>366.97499999999997</v>
      </c>
      <c r="GS56" s="108">
        <f t="shared" si="105"/>
        <v>812.77499999999998</v>
      </c>
      <c r="GT56" s="90">
        <f t="shared" si="106"/>
        <v>0.57999999999999996</v>
      </c>
      <c r="GU56" s="90">
        <v>6121.8</v>
      </c>
      <c r="GV56" s="90">
        <f t="shared" si="615"/>
        <v>4179.24</v>
      </c>
      <c r="GW56" s="90">
        <f t="shared" si="107"/>
        <v>858.42000000000007</v>
      </c>
      <c r="GX56" s="90">
        <f t="shared" si="108"/>
        <v>0.62</v>
      </c>
      <c r="GY56" s="90">
        <v>10802.58</v>
      </c>
      <c r="GZ56" s="90">
        <f t="shared" si="616"/>
        <v>4449.42</v>
      </c>
      <c r="HA56" s="90">
        <f t="shared" si="109"/>
        <v>1271</v>
      </c>
      <c r="HB56" s="90">
        <f t="shared" si="110"/>
        <v>0.91</v>
      </c>
      <c r="HC56" s="90">
        <v>10802.58</v>
      </c>
      <c r="HD56" s="90">
        <f t="shared" si="617"/>
        <v>4449.42</v>
      </c>
      <c r="HE56" s="90">
        <f t="shared" si="111"/>
        <v>1271</v>
      </c>
      <c r="HF56" s="90">
        <f t="shared" si="112"/>
        <v>0.91</v>
      </c>
      <c r="HG56" s="90"/>
      <c r="HH56" s="90"/>
      <c r="HI56" s="90">
        <v>0.96</v>
      </c>
      <c r="HJ56" s="90">
        <f t="shared" si="113"/>
        <v>1333.9199999999998</v>
      </c>
      <c r="HK56" s="90">
        <f t="shared" si="114"/>
        <v>1.009917236415977</v>
      </c>
      <c r="HL56" s="90">
        <f t="shared" si="587"/>
        <v>1403.28</v>
      </c>
      <c r="HM56" s="90">
        <v>1.07</v>
      </c>
      <c r="HN56" s="90">
        <f t="shared" si="116"/>
        <v>1486.7650000000001</v>
      </c>
      <c r="HO56" s="90">
        <v>1.1499999999999999</v>
      </c>
      <c r="HP56" s="90">
        <f t="shared" si="117"/>
        <v>1597.93</v>
      </c>
      <c r="HQ56" s="90">
        <v>1.1499999999999999</v>
      </c>
      <c r="HR56" s="90">
        <f t="shared" si="118"/>
        <v>1597.93</v>
      </c>
      <c r="HS56" s="90">
        <v>0.96</v>
      </c>
      <c r="HT56" s="90">
        <f t="shared" si="588"/>
        <v>1333.9199999999998</v>
      </c>
      <c r="HU56" s="90" t="e">
        <f>HT56*#REF!</f>
        <v>#REF!</v>
      </c>
      <c r="HV56" s="90">
        <v>2.83</v>
      </c>
      <c r="HW56" s="20">
        <v>3.49</v>
      </c>
      <c r="HX56" s="90">
        <f t="shared" si="120"/>
        <v>4849.3550000000005</v>
      </c>
      <c r="HY56" s="90">
        <v>1.06</v>
      </c>
      <c r="HZ56" s="90">
        <f t="shared" si="121"/>
        <v>5140.3163000000004</v>
      </c>
      <c r="IA56" s="90">
        <f t="shared" si="122"/>
        <v>3.7</v>
      </c>
      <c r="IB56" s="90">
        <f t="shared" si="123"/>
        <v>3.88</v>
      </c>
      <c r="IC56" s="90">
        <f t="shared" si="124"/>
        <v>5391.26</v>
      </c>
      <c r="ID56" s="90">
        <f t="shared" si="125"/>
        <v>4.09</v>
      </c>
      <c r="IE56" s="90">
        <f t="shared" si="126"/>
        <v>5683.06</v>
      </c>
      <c r="IF56" s="90">
        <f t="shared" si="127"/>
        <v>4.09</v>
      </c>
      <c r="IG56" s="92">
        <f t="shared" si="128"/>
        <v>68196.72</v>
      </c>
      <c r="IH56" s="90">
        <v>4.3899999999999997</v>
      </c>
      <c r="II56" s="90">
        <f t="shared" si="129"/>
        <v>4.6100000000000003</v>
      </c>
      <c r="IJ56" s="90">
        <f t="shared" si="130"/>
        <v>6405.6</v>
      </c>
      <c r="IK56" s="90">
        <f t="shared" si="131"/>
        <v>4.6100000000000003</v>
      </c>
      <c r="IL56" s="90">
        <f t="shared" si="132"/>
        <v>6405.6</v>
      </c>
      <c r="IM56" s="90">
        <f t="shared" si="133"/>
        <v>4.6100000000000003</v>
      </c>
      <c r="IN56" s="90">
        <f t="shared" si="134"/>
        <v>6405.6</v>
      </c>
      <c r="IO56" s="90">
        <f t="shared" si="135"/>
        <v>4.6100000000000003</v>
      </c>
      <c r="IP56" s="93">
        <v>0.37052404126999999</v>
      </c>
      <c r="IQ56" s="90">
        <f t="shared" si="136"/>
        <v>617.81178641359793</v>
      </c>
      <c r="IR56" s="90">
        <f t="shared" si="137"/>
        <v>654.88049359841386</v>
      </c>
      <c r="IS56" s="90">
        <v>18121.54</v>
      </c>
      <c r="IT56" s="90">
        <v>509.05</v>
      </c>
      <c r="IU56" s="90"/>
      <c r="IV56" s="90">
        <v>330.6775472724724</v>
      </c>
      <c r="IW56" s="90">
        <v>1.575999989</v>
      </c>
      <c r="IX56" s="90">
        <f>$J56*IW56</f>
        <v>2627.8223816586001</v>
      </c>
      <c r="IY56" s="90">
        <v>1.89119998663</v>
      </c>
      <c r="IZ56" s="90">
        <f t="shared" si="139"/>
        <v>2627.8223814223852</v>
      </c>
      <c r="JA56" s="90">
        <f t="shared" si="589"/>
        <v>2558.35</v>
      </c>
      <c r="JB56" s="90">
        <f t="shared" si="609"/>
        <v>2694.6553760668421</v>
      </c>
      <c r="JC56" s="90">
        <f t="shared" si="141"/>
        <v>2699.06</v>
      </c>
      <c r="JD56" s="90">
        <f t="shared" si="142"/>
        <v>2907.1888433360868</v>
      </c>
      <c r="JE56" s="90">
        <f t="shared" si="143"/>
        <v>2907.1888433360868</v>
      </c>
      <c r="JF56" s="93">
        <v>4.2278943710000003E-2</v>
      </c>
      <c r="JG56" s="90">
        <f t="shared" si="144"/>
        <v>70.495910742053994</v>
      </c>
      <c r="JH56" s="90">
        <f t="shared" si="145"/>
        <v>74.725665386577234</v>
      </c>
      <c r="JI56" s="20">
        <v>101.71</v>
      </c>
      <c r="JJ56" s="90">
        <v>42.082851359763019</v>
      </c>
      <c r="JK56" s="90">
        <v>0.17965928</v>
      </c>
      <c r="JL56" s="90">
        <f>$J56*JK56</f>
        <v>299.56388347199999</v>
      </c>
      <c r="JM56" s="90">
        <v>0.21559114040999999</v>
      </c>
      <c r="JN56" s="90">
        <f t="shared" si="147"/>
        <v>299.56388959969502</v>
      </c>
      <c r="JO56" s="90">
        <f t="shared" si="590"/>
        <v>299.56</v>
      </c>
      <c r="JP56" s="90">
        <f t="shared" si="610"/>
        <v>315.52014558390499</v>
      </c>
      <c r="JQ56" s="90">
        <f t="shared" si="149"/>
        <v>316.04000000000002</v>
      </c>
      <c r="JR56" s="90">
        <f t="shared" si="150"/>
        <v>340.40592175025245</v>
      </c>
      <c r="JS56" s="90">
        <f t="shared" si="151"/>
        <v>340.40592175025245</v>
      </c>
      <c r="JT56" s="93">
        <v>7.3220517000000002E-3</v>
      </c>
      <c r="JU56" s="90">
        <f t="shared" si="152"/>
        <v>12.20878900458</v>
      </c>
      <c r="JV56" s="90">
        <f t="shared" si="591"/>
        <v>12.21</v>
      </c>
      <c r="JW56" s="90">
        <f t="shared" si="611"/>
        <v>12.860532038922019</v>
      </c>
      <c r="JX56" s="90">
        <f t="shared" si="154"/>
        <v>12.88</v>
      </c>
      <c r="JY56" s="90">
        <f t="shared" si="155"/>
        <v>13.874870825779752</v>
      </c>
      <c r="JZ56" s="90">
        <f t="shared" si="156"/>
        <v>13.874870825779752</v>
      </c>
      <c r="KA56" s="90">
        <v>7.3220500000000001E-3</v>
      </c>
      <c r="KB56" s="90">
        <f>$J56*KA56</f>
        <v>12.20878617</v>
      </c>
      <c r="KC56" s="90" t="e">
        <f>KB56*#REF!</f>
        <v>#REF!</v>
      </c>
      <c r="KD56" s="90">
        <v>17952.740000000002</v>
      </c>
      <c r="KE56" s="90">
        <v>22700.14</v>
      </c>
      <c r="KF56" s="90"/>
      <c r="KG56" s="90">
        <f t="shared" si="550"/>
        <v>1756.937633475447</v>
      </c>
      <c r="KH56" s="90" t="e">
        <f>KG56/(BW56+#REF!)*(CB56+#REF!)</f>
        <v>#REF!</v>
      </c>
      <c r="KI56" s="90">
        <v>0.8</v>
      </c>
      <c r="KJ56" s="94"/>
      <c r="KK56" s="90">
        <f t="shared" si="159"/>
        <v>0</v>
      </c>
      <c r="KL56" s="93">
        <v>1.7272052</v>
      </c>
      <c r="KM56" s="90">
        <f>$I56*KL56</f>
        <v>2399.9516254</v>
      </c>
      <c r="KN56" s="90">
        <f t="shared" si="161"/>
        <v>2543.9487229240003</v>
      </c>
      <c r="KO56" s="90" t="e">
        <f>BW56+CN56+DC56+DS56+EG56+EV56+FK56+GB56+#REF!+#REF!+HJ56+HX56+IQ56+JG56+JU56+KK56+KM56</f>
        <v>#REF!</v>
      </c>
      <c r="KP56" s="90">
        <v>1894.2513818795348</v>
      </c>
      <c r="KQ56" s="90">
        <v>0.28334929455000002</v>
      </c>
      <c r="KR56" s="90">
        <f t="shared" si="560"/>
        <v>393.71384477722501</v>
      </c>
      <c r="KS56" s="90">
        <v>0.28334929455000002</v>
      </c>
      <c r="KT56" s="90">
        <f t="shared" si="592"/>
        <v>393.71384477722501</v>
      </c>
      <c r="KU56" s="90">
        <f t="shared" si="593"/>
        <v>393.71384477722501</v>
      </c>
      <c r="KV56" s="90">
        <f t="shared" si="594"/>
        <v>393.71</v>
      </c>
      <c r="KW56" s="90">
        <f t="shared" si="612"/>
        <v>414.6863283410309</v>
      </c>
      <c r="KX56" s="90">
        <f t="shared" si="166"/>
        <v>415.36</v>
      </c>
      <c r="KY56" s="90">
        <f t="shared" si="167"/>
        <v>447.3935620653354</v>
      </c>
      <c r="KZ56" s="90">
        <f t="shared" si="168"/>
        <v>447.3935620653354</v>
      </c>
      <c r="LA56" s="90">
        <f t="shared" si="169"/>
        <v>6419.49</v>
      </c>
      <c r="LB56" s="90">
        <f t="shared" si="170"/>
        <v>4.62</v>
      </c>
      <c r="LC56" s="92">
        <f t="shared" si="171"/>
        <v>77033.88</v>
      </c>
      <c r="LD56" s="92">
        <v>4.97</v>
      </c>
      <c r="LE56" s="92">
        <v>6905.819999999997</v>
      </c>
      <c r="LF56" s="90">
        <f t="shared" si="172"/>
        <v>4.9800000000000004</v>
      </c>
      <c r="LG56" s="90">
        <f t="shared" si="173"/>
        <v>6919.71</v>
      </c>
      <c r="LH56" s="90">
        <f t="shared" si="174"/>
        <v>6900.9517499999993</v>
      </c>
      <c r="LI56" s="90">
        <f t="shared" si="175"/>
        <v>4.97</v>
      </c>
      <c r="LJ56" s="90">
        <f t="shared" si="176"/>
        <v>6919.7099999999991</v>
      </c>
      <c r="LK56" s="90">
        <f t="shared" si="177"/>
        <v>4.9800000000000004</v>
      </c>
      <c r="LL56" s="90">
        <f t="shared" si="178"/>
        <v>6919.7099999999991</v>
      </c>
      <c r="LM56" s="90">
        <f t="shared" si="179"/>
        <v>4.9800000000000004</v>
      </c>
      <c r="LN56" s="95">
        <v>0.46</v>
      </c>
      <c r="LO56" s="95">
        <f t="shared" si="180"/>
        <v>639.16999999999996</v>
      </c>
      <c r="LP56" s="95"/>
      <c r="LQ56" s="95">
        <f t="shared" si="181"/>
        <v>0</v>
      </c>
      <c r="LR56" s="90"/>
      <c r="LS56" s="90"/>
      <c r="LT56" s="90">
        <f t="shared" si="182"/>
        <v>0</v>
      </c>
      <c r="LU56" s="90"/>
      <c r="LV56" s="90">
        <f t="shared" si="183"/>
        <v>0</v>
      </c>
      <c r="LW56" s="90">
        <f t="shared" si="184"/>
        <v>0</v>
      </c>
      <c r="LX56" s="90"/>
      <c r="LY56" s="90"/>
      <c r="LZ56" s="90">
        <f t="shared" si="185"/>
        <v>0</v>
      </c>
      <c r="MA56" s="90"/>
      <c r="MB56" s="90">
        <f t="shared" si="186"/>
        <v>0</v>
      </c>
      <c r="MC56" s="90">
        <f t="shared" si="187"/>
        <v>0</v>
      </c>
      <c r="MD56" s="90"/>
      <c r="ME56" s="90"/>
      <c r="MF56" s="90">
        <f t="shared" si="188"/>
        <v>0</v>
      </c>
      <c r="MG56" s="90"/>
      <c r="MH56" s="90">
        <f t="shared" si="189"/>
        <v>0</v>
      </c>
      <c r="MI56" s="90">
        <f t="shared" si="190"/>
        <v>0</v>
      </c>
      <c r="MJ56" s="90"/>
      <c r="MK56" s="90"/>
      <c r="ML56" s="90">
        <f t="shared" si="191"/>
        <v>0</v>
      </c>
      <c r="MM56" s="90"/>
      <c r="MN56" s="90">
        <f t="shared" si="192"/>
        <v>0</v>
      </c>
      <c r="MO56" s="90">
        <f t="shared" si="193"/>
        <v>0</v>
      </c>
      <c r="MP56" s="90">
        <f t="shared" si="194"/>
        <v>0</v>
      </c>
      <c r="MQ56" s="90">
        <f t="shared" si="195"/>
        <v>0</v>
      </c>
      <c r="MR56" s="90">
        <f t="shared" si="196"/>
        <v>0</v>
      </c>
      <c r="MS56" s="90">
        <f t="shared" si="197"/>
        <v>0</v>
      </c>
      <c r="MT56" s="95"/>
      <c r="MU56" s="95">
        <f t="shared" si="198"/>
        <v>0</v>
      </c>
      <c r="MV56" s="92">
        <f t="shared" si="199"/>
        <v>0</v>
      </c>
      <c r="MW56" s="95"/>
      <c r="MX56" s="95">
        <f t="shared" si="200"/>
        <v>0</v>
      </c>
      <c r="MY56" s="95"/>
      <c r="MZ56" s="95">
        <f t="shared" si="201"/>
        <v>0</v>
      </c>
      <c r="NA56" s="95"/>
      <c r="NB56" s="95">
        <f t="shared" si="202"/>
        <v>0</v>
      </c>
      <c r="NC56" s="92">
        <f t="shared" si="203"/>
        <v>0</v>
      </c>
      <c r="ND56" s="95"/>
      <c r="NE56" s="95">
        <f t="shared" si="204"/>
        <v>0</v>
      </c>
      <c r="NF56" s="95"/>
      <c r="NG56" s="95">
        <f t="shared" si="205"/>
        <v>0</v>
      </c>
      <c r="NH56" s="95"/>
      <c r="NI56" s="95"/>
      <c r="NJ56" s="95">
        <f t="shared" si="206"/>
        <v>0</v>
      </c>
      <c r="NK56" s="92">
        <f t="shared" si="207"/>
        <v>0</v>
      </c>
      <c r="NL56" s="95"/>
      <c r="NM56" s="95">
        <f t="shared" si="208"/>
        <v>0</v>
      </c>
      <c r="NN56" s="95"/>
      <c r="NO56" s="95">
        <f t="shared" si="209"/>
        <v>0</v>
      </c>
      <c r="NP56" s="95"/>
      <c r="NQ56" s="95">
        <f t="shared" si="210"/>
        <v>0</v>
      </c>
      <c r="NR56" s="92">
        <f t="shared" si="211"/>
        <v>0</v>
      </c>
      <c r="NS56" s="95"/>
      <c r="NT56" s="95">
        <f t="shared" si="212"/>
        <v>0</v>
      </c>
      <c r="NU56" s="95"/>
      <c r="NV56" s="95">
        <f t="shared" si="213"/>
        <v>0</v>
      </c>
      <c r="NW56" s="95">
        <v>0.55000000000000004</v>
      </c>
      <c r="NX56" s="95">
        <f t="shared" si="214"/>
        <v>764.23</v>
      </c>
      <c r="NY56" s="92">
        <f t="shared" si="215"/>
        <v>9170.76</v>
      </c>
      <c r="NZ56" s="112">
        <f>0.55+0.25</f>
        <v>0.8</v>
      </c>
      <c r="OA56" s="95">
        <f t="shared" si="216"/>
        <v>1111.5999999999999</v>
      </c>
      <c r="OB56" s="112">
        <f t="shared" si="618"/>
        <v>0.78</v>
      </c>
      <c r="OC56" s="95">
        <f t="shared" si="217"/>
        <v>1083.81</v>
      </c>
      <c r="OD56" s="90">
        <v>5863.69</v>
      </c>
      <c r="OE56" s="90">
        <f t="shared" si="218"/>
        <v>4.22</v>
      </c>
      <c r="OF56" s="92">
        <f t="shared" si="219"/>
        <v>70364.28</v>
      </c>
      <c r="OG56" s="96">
        <v>1838.43</v>
      </c>
      <c r="OH56" s="96">
        <v>1.32</v>
      </c>
      <c r="OI56" s="90">
        <v>7697.83</v>
      </c>
      <c r="OJ56" s="90">
        <f t="shared" si="220"/>
        <v>5.54</v>
      </c>
      <c r="OK56" s="90">
        <f t="shared" si="221"/>
        <v>7702.12</v>
      </c>
      <c r="OL56" s="90">
        <f t="shared" si="222"/>
        <v>5.54</v>
      </c>
      <c r="OM56" s="90">
        <f t="shared" si="223"/>
        <v>0</v>
      </c>
      <c r="ON56" s="90">
        <v>5863.69</v>
      </c>
      <c r="OO56" s="90">
        <f t="shared" si="224"/>
        <v>4.22</v>
      </c>
      <c r="OP56" s="90">
        <v>5859.4</v>
      </c>
      <c r="OQ56" s="90">
        <v>4.22</v>
      </c>
      <c r="OR56" s="90">
        <f t="shared" si="225"/>
        <v>0</v>
      </c>
      <c r="OS56" s="90">
        <f t="shared" si="226"/>
        <v>4.22</v>
      </c>
      <c r="OT56" s="90">
        <v>5863.69</v>
      </c>
      <c r="OU56" s="90">
        <f t="shared" si="227"/>
        <v>4.22</v>
      </c>
      <c r="OV56" s="97">
        <v>5863.69</v>
      </c>
      <c r="OW56" s="90">
        <f t="shared" si="619"/>
        <v>5863.69</v>
      </c>
      <c r="OX56" s="90">
        <f t="shared" si="229"/>
        <v>4.22</v>
      </c>
      <c r="OY56" s="90">
        <f>OU56</f>
        <v>4.22</v>
      </c>
      <c r="OZ56" s="90"/>
      <c r="PA56" s="90"/>
      <c r="PB56" s="95">
        <f t="shared" si="230"/>
        <v>0</v>
      </c>
      <c r="PC56" s="92">
        <f t="shared" si="231"/>
        <v>0</v>
      </c>
      <c r="PD56" s="90"/>
      <c r="PE56" s="95">
        <f t="shared" si="232"/>
        <v>0</v>
      </c>
      <c r="PF56" s="90">
        <f t="shared" si="233"/>
        <v>21381.674999999999</v>
      </c>
      <c r="PG56" s="90">
        <f t="shared" si="234"/>
        <v>15.39</v>
      </c>
      <c r="PH56" s="90">
        <f t="shared" si="235"/>
        <v>26171.699999999993</v>
      </c>
      <c r="PI56" s="90">
        <f t="shared" si="236"/>
        <v>18.84</v>
      </c>
      <c r="PJ56" s="90">
        <f t="shared" si="237"/>
        <v>26171.699999999993</v>
      </c>
      <c r="PK56" s="90">
        <f t="shared" si="238"/>
        <v>18.84</v>
      </c>
      <c r="PL56" s="90"/>
      <c r="PM56" s="90">
        <f t="shared" si="239"/>
        <v>641.45000000000005</v>
      </c>
      <c r="PN56" s="90">
        <f t="shared" si="240"/>
        <v>0.46</v>
      </c>
      <c r="PO56" s="92">
        <f t="shared" si="241"/>
        <v>7697.4000000000005</v>
      </c>
      <c r="PP56" s="90">
        <f t="shared" si="242"/>
        <v>785.15</v>
      </c>
      <c r="PQ56" s="90">
        <f t="shared" si="243"/>
        <v>0.56999999999999995</v>
      </c>
      <c r="PR56" s="90">
        <f t="shared" si="244"/>
        <v>785.15</v>
      </c>
      <c r="PS56" s="90">
        <f t="shared" si="245"/>
        <v>0.56999999999999995</v>
      </c>
      <c r="PT56" s="90">
        <f t="shared" si="246"/>
        <v>22023.125</v>
      </c>
      <c r="PU56" s="90">
        <f t="shared" si="247"/>
        <v>15.85</v>
      </c>
      <c r="PV56" s="90">
        <f t="shared" si="248"/>
        <v>26956.849999999995</v>
      </c>
      <c r="PW56" s="90">
        <f t="shared" si="249"/>
        <v>19.399999999999999</v>
      </c>
      <c r="PX56" s="90">
        <f t="shared" si="250"/>
        <v>26956.849999999995</v>
      </c>
      <c r="PY56" s="90">
        <f t="shared" si="251"/>
        <v>19.399999999999999</v>
      </c>
      <c r="PZ56" s="90">
        <f t="shared" si="252"/>
        <v>222.46</v>
      </c>
      <c r="QA56" s="90">
        <f t="shared" si="253"/>
        <v>0.16</v>
      </c>
      <c r="QB56" s="92">
        <f t="shared" si="254"/>
        <v>2669.52</v>
      </c>
      <c r="QC56" s="90">
        <f t="shared" si="255"/>
        <v>272.29000000000002</v>
      </c>
      <c r="QD56" s="90">
        <f t="shared" si="256"/>
        <v>0.2</v>
      </c>
      <c r="QE56" s="90">
        <f t="shared" si="257"/>
        <v>272.29000000000002</v>
      </c>
      <c r="QF56" s="90">
        <f t="shared" si="258"/>
        <v>0.2</v>
      </c>
      <c r="QG56" s="90">
        <f t="shared" si="259"/>
        <v>22245.584999999999</v>
      </c>
      <c r="QH56" s="90">
        <f t="shared" si="260"/>
        <v>16.010000000000002</v>
      </c>
      <c r="QI56" s="92">
        <f t="shared" si="261"/>
        <v>266947.02</v>
      </c>
      <c r="QJ56" s="90">
        <f t="shared" si="262"/>
        <v>430.69632834103089</v>
      </c>
      <c r="QK56" s="98">
        <f t="shared" si="263"/>
        <v>0.30915000000000004</v>
      </c>
      <c r="QL56" s="90">
        <f t="shared" si="264"/>
        <v>429.56392500000004</v>
      </c>
      <c r="QM56" s="90">
        <f t="shared" si="265"/>
        <v>0.15110000000000001</v>
      </c>
      <c r="QN56" s="90">
        <f t="shared" si="266"/>
        <v>209.95345</v>
      </c>
      <c r="QO56" s="90">
        <v>0.30915000000000004</v>
      </c>
      <c r="QP56" s="90">
        <v>0.15110000000000001</v>
      </c>
      <c r="QQ56" s="97">
        <f t="shared" si="267"/>
        <v>639.51737500000002</v>
      </c>
      <c r="QR56" s="97">
        <v>639.51737500000002</v>
      </c>
      <c r="QS56" s="97">
        <f t="shared" si="268"/>
        <v>0</v>
      </c>
      <c r="QT56" s="90"/>
      <c r="QU56" s="90">
        <f t="shared" si="269"/>
        <v>0.15110000000000001</v>
      </c>
      <c r="QV56" s="90">
        <f t="shared" si="270"/>
        <v>209.95345</v>
      </c>
      <c r="QW56" s="90">
        <f t="shared" si="271"/>
        <v>639.51737500000002</v>
      </c>
      <c r="QX56" s="90">
        <f t="shared" si="272"/>
        <v>0.46024999999999999</v>
      </c>
      <c r="QY56" s="90"/>
      <c r="QZ56" s="90"/>
      <c r="RA56" s="90"/>
      <c r="RB56" s="90">
        <v>6086.4900000000007</v>
      </c>
      <c r="RC56" s="97">
        <f t="shared" si="273"/>
        <v>22245.584999999999</v>
      </c>
      <c r="RD56" s="97">
        <f t="shared" si="274"/>
        <v>16.010000000000002</v>
      </c>
      <c r="RE56" s="90">
        <f t="shared" si="275"/>
        <v>27229.139999999996</v>
      </c>
      <c r="RF56" s="90">
        <f t="shared" si="276"/>
        <v>19.600000000000001</v>
      </c>
      <c r="RG56" s="90">
        <f t="shared" si="277"/>
        <v>122.50000000000003</v>
      </c>
      <c r="RH56" s="90">
        <f t="shared" si="278"/>
        <v>27229.139999999996</v>
      </c>
      <c r="RI56" s="90">
        <f t="shared" si="279"/>
        <v>19.600000000000001</v>
      </c>
      <c r="RJ56" s="90">
        <v>19.330000000000002</v>
      </c>
      <c r="RK56" s="90">
        <v>0</v>
      </c>
      <c r="RL56" s="90">
        <f t="shared" si="280"/>
        <v>0.26999999999999957</v>
      </c>
      <c r="RM56" s="90">
        <f t="shared" si="281"/>
        <v>106.06060606060606</v>
      </c>
      <c r="RN56" s="90">
        <f t="shared" si="282"/>
        <v>16435.829999999998</v>
      </c>
      <c r="RO56" s="90"/>
      <c r="RP56" s="90"/>
      <c r="RQ56" s="99">
        <v>3356</v>
      </c>
      <c r="RR56" s="90">
        <f t="shared" si="283"/>
        <v>16381.894999999999</v>
      </c>
      <c r="RS56" s="90">
        <f t="shared" si="284"/>
        <v>11.789776898164806</v>
      </c>
      <c r="RT56" s="20">
        <v>14.56</v>
      </c>
      <c r="RU56" s="90">
        <f t="shared" si="285"/>
        <v>20231.12</v>
      </c>
      <c r="RV56" s="90">
        <f t="shared" si="286"/>
        <v>0.30996497181794236</v>
      </c>
      <c r="RW56" s="20">
        <v>13.49</v>
      </c>
      <c r="RX56" s="90">
        <f t="shared" si="287"/>
        <v>14.1645</v>
      </c>
      <c r="RY56" s="90">
        <f t="shared" si="288"/>
        <v>19681.572749999999</v>
      </c>
      <c r="RZ56" s="90">
        <f t="shared" si="289"/>
        <v>6086.6074640046554</v>
      </c>
      <c r="SA56" s="90">
        <f t="shared" si="290"/>
        <v>1813.0924039779952</v>
      </c>
      <c r="SB56" s="90">
        <f t="shared" si="291"/>
        <v>1813.093692572505</v>
      </c>
      <c r="SC56" s="90">
        <f t="shared" si="292"/>
        <v>6086.6074640046554</v>
      </c>
      <c r="SD56" s="90">
        <f t="shared" si="293"/>
        <v>6086.6087525991652</v>
      </c>
      <c r="SE56" s="90">
        <f t="shared" si="294"/>
        <v>6086.6071088986</v>
      </c>
      <c r="SF56" s="90">
        <f t="shared" si="295"/>
        <v>6066.1958654873124</v>
      </c>
      <c r="SG56" s="90">
        <f t="shared" si="296"/>
        <v>20.411598517343009</v>
      </c>
      <c r="SH56" s="90">
        <f t="shared" si="297"/>
        <v>6086.6081762873127</v>
      </c>
      <c r="SI56" s="90">
        <f t="shared" si="298"/>
        <v>4.3804309122700005</v>
      </c>
      <c r="SJ56" s="100">
        <f t="shared" si="299"/>
        <v>4.3657400975079614</v>
      </c>
      <c r="SK56" s="100"/>
      <c r="SL56" s="100"/>
      <c r="SM56" s="90"/>
      <c r="SN56" s="90">
        <f t="shared" si="300"/>
        <v>6163.29</v>
      </c>
      <c r="SO56" s="90" t="e">
        <f>RU56-#REF!-#REF!-HZ56-LT56-LZ56-MF56-ML56-QL56-QN56-SD56</f>
        <v>#REF!</v>
      </c>
      <c r="SP56" s="90">
        <f t="shared" si="301"/>
        <v>6086.4900000000007</v>
      </c>
      <c r="SQ56" s="90">
        <f t="shared" si="302"/>
        <v>6419.49</v>
      </c>
      <c r="SR56" s="90">
        <f t="shared" si="303"/>
        <v>4.3803454480028794</v>
      </c>
      <c r="SS56" s="90">
        <f t="shared" si="304"/>
        <v>4.62</v>
      </c>
      <c r="ST56" s="90">
        <f t="shared" si="305"/>
        <v>6427.5449999999992</v>
      </c>
      <c r="SU56" s="90">
        <v>4.3803454480028794</v>
      </c>
      <c r="SV56" s="90">
        <f t="shared" si="306"/>
        <v>4.63</v>
      </c>
      <c r="SW56" s="90">
        <v>4.62</v>
      </c>
      <c r="SX56" s="90">
        <f t="shared" si="307"/>
        <v>6419.49</v>
      </c>
      <c r="SY56" s="90">
        <v>4.3804246131702058</v>
      </c>
      <c r="SZ56" s="90">
        <f t="shared" si="308"/>
        <v>6086.6000000000013</v>
      </c>
      <c r="TA56" s="90">
        <f t="shared" si="309"/>
        <v>0.11000000000058208</v>
      </c>
      <c r="TB56" s="90">
        <v>0</v>
      </c>
      <c r="TC56" s="90">
        <f t="shared" si="310"/>
        <v>5908.447624999998</v>
      </c>
      <c r="TD56" s="90" t="e">
        <f>#REF!+#REF!</f>
        <v>#REF!</v>
      </c>
      <c r="TE56" s="90" t="e">
        <f t="shared" si="311"/>
        <v>#REF!</v>
      </c>
      <c r="TF56" s="90">
        <v>5840.7592916666663</v>
      </c>
      <c r="TG56" s="90">
        <f t="shared" si="312"/>
        <v>29.204748056459547</v>
      </c>
      <c r="TH56" s="95"/>
      <c r="TI56" s="95"/>
      <c r="TJ56" s="95"/>
      <c r="TK56" s="95"/>
      <c r="TL56" s="95">
        <v>0.55000000000000004</v>
      </c>
      <c r="TM56" s="95">
        <f t="shared" si="313"/>
        <v>764.22500000000002</v>
      </c>
      <c r="TN56" s="95">
        <f t="shared" si="314"/>
        <v>20995.344999999998</v>
      </c>
      <c r="TO56" s="95">
        <f t="shared" si="315"/>
        <v>28.141702958441495</v>
      </c>
      <c r="TP56" s="95"/>
      <c r="TQ56" s="95">
        <f t="shared" si="316"/>
        <v>15.110000000000001</v>
      </c>
      <c r="TR56" s="95"/>
      <c r="TS56" s="95"/>
      <c r="TT56" s="95"/>
      <c r="TU56" s="95"/>
      <c r="TV56" s="95"/>
      <c r="TW56" s="95"/>
      <c r="TX56" s="95"/>
      <c r="TY56" s="95"/>
      <c r="TZ56" s="95">
        <f t="shared" si="317"/>
        <v>3.0459960291197881</v>
      </c>
      <c r="UA56" s="95">
        <f t="shared" si="318"/>
        <v>0.6648400000000001</v>
      </c>
      <c r="UB56" s="90">
        <v>0</v>
      </c>
      <c r="UC56" s="90">
        <f t="shared" si="319"/>
        <v>0</v>
      </c>
      <c r="UD56" s="90">
        <f t="shared" si="320"/>
        <v>0</v>
      </c>
      <c r="UE56" s="90">
        <f t="shared" si="321"/>
        <v>0</v>
      </c>
      <c r="UF56" s="90">
        <f t="shared" si="322"/>
        <v>20231.12</v>
      </c>
      <c r="UG56" s="91">
        <f t="shared" si="323"/>
        <v>0</v>
      </c>
      <c r="UH56" s="95">
        <f t="shared" si="324"/>
        <v>29.204748056459547</v>
      </c>
      <c r="UI56" s="95">
        <f t="shared" si="325"/>
        <v>20995.344999999998</v>
      </c>
      <c r="UJ56" s="101">
        <f t="shared" si="326"/>
        <v>0</v>
      </c>
      <c r="UK56" s="101">
        <f t="shared" si="327"/>
        <v>28.141702958441495</v>
      </c>
      <c r="UL56" s="90" t="e">
        <f>(#REF!+#REF!+HZ56+LT56+LZ56+MF56+ML56+QL56+QN56+SN56+TC56+TM56+UC56)/I56</f>
        <v>#REF!</v>
      </c>
      <c r="UN56" s="90" t="e">
        <f>#REF!/I56</f>
        <v>#REF!</v>
      </c>
      <c r="UO56" s="90" t="e">
        <f>#REF!/I56</f>
        <v>#REF!</v>
      </c>
      <c r="UP56" s="90">
        <v>1.1499999999999999</v>
      </c>
      <c r="UQ56" s="90" t="e">
        <f t="shared" si="328"/>
        <v>#REF!</v>
      </c>
      <c r="UR56" s="90">
        <f t="shared" si="329"/>
        <v>16381.894999999999</v>
      </c>
      <c r="US56" s="90">
        <f t="shared" si="330"/>
        <v>20313.7</v>
      </c>
      <c r="UT56" s="90">
        <f t="shared" si="331"/>
        <v>20313.7</v>
      </c>
      <c r="UU56" s="90">
        <f t="shared" si="516"/>
        <v>20952.87</v>
      </c>
      <c r="UV56" s="90">
        <f t="shared" si="333"/>
        <v>20726.28</v>
      </c>
      <c r="UW56" s="90">
        <f t="shared" si="334"/>
        <v>7.07</v>
      </c>
      <c r="UX56" s="90">
        <f t="shared" si="335"/>
        <v>4.62</v>
      </c>
      <c r="UY56" s="90">
        <f t="shared" si="336"/>
        <v>4.435617128463476</v>
      </c>
      <c r="UZ56" s="100">
        <f t="shared" si="337"/>
        <v>4.3804309122700005</v>
      </c>
      <c r="VA56" s="90">
        <f t="shared" si="338"/>
        <v>0.57999999999999996</v>
      </c>
      <c r="VB56" s="90">
        <f t="shared" si="339"/>
        <v>1.32</v>
      </c>
      <c r="VC56" s="90">
        <f t="shared" si="340"/>
        <v>0.55000000000000004</v>
      </c>
      <c r="VD56" s="90">
        <f t="shared" si="341"/>
        <v>0</v>
      </c>
      <c r="VE56" s="90">
        <f t="shared" si="342"/>
        <v>0</v>
      </c>
      <c r="VF56" s="90">
        <f t="shared" si="343"/>
        <v>0</v>
      </c>
      <c r="VG56" s="90">
        <f t="shared" si="344"/>
        <v>0</v>
      </c>
      <c r="VH56" s="90">
        <f t="shared" si="345"/>
        <v>0</v>
      </c>
      <c r="VI56" s="90">
        <f t="shared" si="346"/>
        <v>0</v>
      </c>
      <c r="VJ56" s="90">
        <f t="shared" si="347"/>
        <v>0</v>
      </c>
      <c r="VK56" s="90">
        <f t="shared" si="348"/>
        <v>0.98</v>
      </c>
      <c r="VL56" s="90">
        <f t="shared" si="349"/>
        <v>4.09</v>
      </c>
      <c r="VM56" s="90">
        <f t="shared" si="350"/>
        <v>4.22</v>
      </c>
      <c r="VN56" s="90">
        <f t="shared" si="351"/>
        <v>0</v>
      </c>
      <c r="VO56" s="90">
        <f t="shared" si="352"/>
        <v>4.22</v>
      </c>
      <c r="VP56" s="97">
        <v>0</v>
      </c>
      <c r="VQ56" s="97">
        <v>4.22</v>
      </c>
      <c r="VR56" s="90">
        <f t="shared" si="353"/>
        <v>0.46</v>
      </c>
      <c r="VS56" s="90">
        <f t="shared" si="354"/>
        <v>0.16</v>
      </c>
      <c r="VT56" s="90">
        <v>0.11989898989898991</v>
      </c>
      <c r="VU56" s="90">
        <f t="shared" si="355"/>
        <v>0.15999999999999998</v>
      </c>
      <c r="VV56" s="90">
        <v>0.38175323599898991</v>
      </c>
      <c r="VW56" s="90">
        <f t="shared" si="356"/>
        <v>0.62</v>
      </c>
      <c r="VX56" s="90">
        <f t="shared" si="357"/>
        <v>15.999999999999998</v>
      </c>
      <c r="VY56" s="90">
        <f t="shared" si="358"/>
        <v>15.999999999999998</v>
      </c>
      <c r="VZ56" s="90">
        <f t="shared" si="359"/>
        <v>0</v>
      </c>
      <c r="WA56" s="90"/>
      <c r="WB56" s="90">
        <f t="shared" si="360"/>
        <v>15.999999999999998</v>
      </c>
      <c r="WC56" s="90">
        <f t="shared" si="361"/>
        <v>0</v>
      </c>
      <c r="WD56" s="90"/>
      <c r="WE56" s="90">
        <v>15.999999999999998</v>
      </c>
      <c r="WF56" s="90"/>
      <c r="WG56" s="90">
        <f t="shared" si="362"/>
        <v>22231.999999999996</v>
      </c>
      <c r="WH56" s="90">
        <f t="shared" si="363"/>
        <v>21467.774999999998</v>
      </c>
      <c r="WI56" s="90">
        <f t="shared" si="364"/>
        <v>21481.355</v>
      </c>
      <c r="WJ56" s="90">
        <f t="shared" si="365"/>
        <v>16381.894999999999</v>
      </c>
      <c r="WK56" s="97">
        <v>5869.6</v>
      </c>
      <c r="WL56" s="97">
        <v>4.22</v>
      </c>
      <c r="WM56" s="90">
        <f t="shared" si="366"/>
        <v>5863.69</v>
      </c>
      <c r="WN56" s="90">
        <f t="shared" si="367"/>
        <v>4.22</v>
      </c>
      <c r="WO56" s="90"/>
      <c r="WP56" s="97">
        <v>15.999999999999998</v>
      </c>
      <c r="WQ56" s="90">
        <f t="shared" si="368"/>
        <v>15.999999999999998</v>
      </c>
      <c r="WR56" s="91">
        <f t="shared" si="369"/>
        <v>105.89013898080739</v>
      </c>
      <c r="WS56" s="91">
        <f t="shared" si="370"/>
        <v>105.89013898080739</v>
      </c>
      <c r="WT56" s="90">
        <f t="shared" si="371"/>
        <v>22232</v>
      </c>
      <c r="WU56" s="90">
        <f t="shared" si="372"/>
        <v>22245.584999999999</v>
      </c>
      <c r="WV56" s="90">
        <f t="shared" si="373"/>
        <v>-13.584999999999127</v>
      </c>
      <c r="WW56" s="90"/>
      <c r="WX56" s="90"/>
      <c r="WY56" s="90"/>
      <c r="WZ56" s="90">
        <f t="shared" si="374"/>
        <v>4.1407898989898984</v>
      </c>
      <c r="XA56" s="90">
        <v>0</v>
      </c>
      <c r="XB56" s="90">
        <f t="shared" si="375"/>
        <v>4.1407898989898984</v>
      </c>
      <c r="XC56" s="90">
        <f t="shared" si="376"/>
        <v>0.47819999999999996</v>
      </c>
      <c r="XD56" s="90">
        <f t="shared" si="377"/>
        <v>0.16101010101010099</v>
      </c>
      <c r="XE56" s="90"/>
      <c r="XF56" s="90">
        <f t="shared" si="378"/>
        <v>15.94</v>
      </c>
      <c r="XG56" s="90">
        <v>4.2034971512534485</v>
      </c>
      <c r="XH56" s="20">
        <v>14.56</v>
      </c>
      <c r="XI56" s="20">
        <v>0</v>
      </c>
      <c r="XJ56" s="20"/>
      <c r="XK56" s="20"/>
      <c r="XL56" s="20">
        <v>0.55000000000000004</v>
      </c>
      <c r="XM56" s="20">
        <f t="shared" si="620"/>
        <v>15.110000000000001</v>
      </c>
      <c r="XN56" s="91">
        <f t="shared" si="380"/>
        <v>105.89013898080739</v>
      </c>
      <c r="XO56" s="20">
        <f t="shared" si="381"/>
        <v>15.110000000000001</v>
      </c>
      <c r="XP56" s="90">
        <f t="shared" si="621"/>
        <v>15.110000000000001</v>
      </c>
      <c r="XQ56" s="91">
        <f t="shared" si="383"/>
        <v>105.89013898080739</v>
      </c>
      <c r="XR56" s="102"/>
      <c r="XS56" s="90">
        <f t="shared" si="384"/>
        <v>4.09</v>
      </c>
      <c r="XT56" s="90">
        <f t="shared" si="385"/>
        <v>7.07</v>
      </c>
      <c r="XU56" s="90">
        <f t="shared" si="386"/>
        <v>4.62</v>
      </c>
      <c r="XV56" s="90">
        <f t="shared" si="387"/>
        <v>1.1299999999999999</v>
      </c>
      <c r="XW56" s="90">
        <f t="shared" si="388"/>
        <v>0.57999999999999996</v>
      </c>
      <c r="XX56" s="90">
        <f t="shared" si="389"/>
        <v>0.55000000000000004</v>
      </c>
      <c r="XY56" s="90">
        <f t="shared" si="390"/>
        <v>1.32</v>
      </c>
      <c r="XZ56" s="90">
        <f t="shared" si="391"/>
        <v>0</v>
      </c>
      <c r="YA56" s="90">
        <f t="shared" si="392"/>
        <v>0</v>
      </c>
      <c r="YB56" s="90">
        <f t="shared" si="552"/>
        <v>0</v>
      </c>
      <c r="YC56" s="90">
        <f t="shared" si="552"/>
        <v>0</v>
      </c>
      <c r="YD56" s="90">
        <f t="shared" si="394"/>
        <v>1.32</v>
      </c>
      <c r="YE56" s="90">
        <f t="shared" si="395"/>
        <v>4.22</v>
      </c>
      <c r="YF56" s="90">
        <f t="shared" si="396"/>
        <v>0.62</v>
      </c>
      <c r="YG56" s="90">
        <f t="shared" si="397"/>
        <v>15.999999999999998</v>
      </c>
      <c r="YI56" s="103" t="s">
        <v>462</v>
      </c>
      <c r="YK56" s="90">
        <f t="shared" si="398"/>
        <v>1.07</v>
      </c>
      <c r="YL56" s="90">
        <f t="shared" si="553"/>
        <v>0.57999999999999996</v>
      </c>
      <c r="YM56" s="90">
        <f t="shared" si="553"/>
        <v>1.32</v>
      </c>
      <c r="YN56" s="90">
        <f t="shared" si="400"/>
        <v>4.09</v>
      </c>
      <c r="YO56" s="90">
        <f t="shared" si="401"/>
        <v>8.94</v>
      </c>
      <c r="YP56" s="90">
        <f t="shared" si="402"/>
        <v>0</v>
      </c>
      <c r="YQ56" s="90">
        <f t="shared" si="403"/>
        <v>15.999999999999998</v>
      </c>
      <c r="YR56" s="90">
        <f t="shared" si="404"/>
        <v>0</v>
      </c>
      <c r="YS56" s="104">
        <f t="shared" si="405"/>
        <v>16</v>
      </c>
      <c r="YT56" s="104">
        <f t="shared" si="406"/>
        <v>0</v>
      </c>
      <c r="YY56" s="90">
        <f t="shared" si="407"/>
        <v>9.2500000000000018</v>
      </c>
      <c r="YZ56" s="90">
        <f t="shared" si="408"/>
        <v>4.9800000000000004</v>
      </c>
      <c r="ZA56" s="90">
        <f t="shared" si="409"/>
        <v>0.62</v>
      </c>
      <c r="ZB56" s="90">
        <f t="shared" si="410"/>
        <v>2.85</v>
      </c>
      <c r="ZC56" s="90">
        <f t="shared" si="411"/>
        <v>0.8</v>
      </c>
      <c r="ZD56" s="90">
        <f t="shared" si="412"/>
        <v>0</v>
      </c>
      <c r="ZE56" s="90">
        <f t="shared" si="413"/>
        <v>0</v>
      </c>
      <c r="ZF56" s="90">
        <f t="shared" si="414"/>
        <v>0</v>
      </c>
      <c r="ZG56" s="90">
        <f t="shared" si="415"/>
        <v>0</v>
      </c>
      <c r="ZH56" s="90">
        <f t="shared" si="416"/>
        <v>0</v>
      </c>
      <c r="ZI56" s="90">
        <f t="shared" si="417"/>
        <v>0</v>
      </c>
      <c r="ZJ56" s="90">
        <f t="shared" si="418"/>
        <v>0</v>
      </c>
      <c r="ZK56" s="90">
        <f t="shared" si="419"/>
        <v>0</v>
      </c>
      <c r="ZL56" s="90">
        <f t="shared" si="420"/>
        <v>0</v>
      </c>
      <c r="ZM56" s="90">
        <f t="shared" si="421"/>
        <v>4.6100000000000003</v>
      </c>
      <c r="ZN56" s="90">
        <f t="shared" si="422"/>
        <v>7.07</v>
      </c>
      <c r="ZO56" s="90">
        <f t="shared" si="423"/>
        <v>5.54</v>
      </c>
      <c r="ZP56" s="90">
        <f t="shared" si="424"/>
        <v>4.22</v>
      </c>
      <c r="ZQ56" s="90">
        <f t="shared" si="425"/>
        <v>0</v>
      </c>
      <c r="ZR56" s="90">
        <f t="shared" si="426"/>
        <v>4.22</v>
      </c>
      <c r="ZS56" s="97">
        <v>227</v>
      </c>
      <c r="ZT56" s="97">
        <v>230.38</v>
      </c>
      <c r="ZU56" s="90">
        <f t="shared" si="427"/>
        <v>0.56999999999999995</v>
      </c>
      <c r="ZV56" s="90">
        <f t="shared" si="428"/>
        <v>0.2</v>
      </c>
      <c r="ZW56" s="90">
        <v>0.11989898989898991</v>
      </c>
      <c r="ZX56" s="90">
        <f t="shared" si="429"/>
        <v>0.18850000000000003</v>
      </c>
      <c r="ZY56" s="90">
        <v>0.38175323599898991</v>
      </c>
      <c r="ZZ56" s="90">
        <f t="shared" si="430"/>
        <v>0.77</v>
      </c>
      <c r="AAA56" s="90">
        <f t="shared" si="431"/>
        <v>18.850000000000001</v>
      </c>
      <c r="AAB56" s="90">
        <f t="shared" si="432"/>
        <v>18.850000000000001</v>
      </c>
      <c r="AAC56" s="90">
        <f t="shared" si="433"/>
        <v>0</v>
      </c>
      <c r="AAD56" s="90"/>
      <c r="AAE56" s="90">
        <f t="shared" si="434"/>
        <v>18.850000000000001</v>
      </c>
      <c r="AAF56" s="90">
        <v>15.999999999999998</v>
      </c>
      <c r="AAG56" s="90">
        <f t="shared" si="435"/>
        <v>117.81250000000003</v>
      </c>
      <c r="AAH56" s="90">
        <f t="shared" si="436"/>
        <v>0</v>
      </c>
      <c r="AAI56" s="90">
        <v>0</v>
      </c>
      <c r="AAJ56" s="90"/>
      <c r="AAK56" s="1">
        <v>18.489999999999998</v>
      </c>
      <c r="AAL56" s="104">
        <f t="shared" si="437"/>
        <v>0.36000000000000298</v>
      </c>
      <c r="AAM56" s="103" t="s">
        <v>478</v>
      </c>
      <c r="AAN56" s="105">
        <v>9.16</v>
      </c>
      <c r="AAO56" s="90">
        <f t="shared" si="438"/>
        <v>10.000000000000002</v>
      </c>
      <c r="AAP56" s="90">
        <v>4.97</v>
      </c>
      <c r="AAQ56" s="90">
        <f t="shared" si="439"/>
        <v>4.9800000000000004</v>
      </c>
      <c r="AAR56" s="90">
        <v>0.62</v>
      </c>
      <c r="AAS56" s="90">
        <f t="shared" si="440"/>
        <v>0.91</v>
      </c>
      <c r="AAT56" s="90">
        <f t="shared" si="441"/>
        <v>146.7741935483871</v>
      </c>
      <c r="AAU56" s="90">
        <v>2.77</v>
      </c>
      <c r="AAV56" s="90">
        <f t="shared" si="442"/>
        <v>2.85</v>
      </c>
      <c r="AAW56" s="90">
        <f t="shared" si="443"/>
        <v>102.88808664259928</v>
      </c>
      <c r="AAX56" s="90">
        <f t="shared" si="444"/>
        <v>0.46</v>
      </c>
      <c r="AAY56" s="90">
        <f t="shared" si="445"/>
        <v>0.8</v>
      </c>
      <c r="AAZ56" s="90">
        <f t="shared" si="446"/>
        <v>0</v>
      </c>
      <c r="ABA56" s="90">
        <f t="shared" si="447"/>
        <v>0</v>
      </c>
      <c r="ABB56" s="90">
        <f t="shared" si="448"/>
        <v>0</v>
      </c>
      <c r="ABC56" s="90">
        <v>0</v>
      </c>
      <c r="ABD56" s="90">
        <f t="shared" si="449"/>
        <v>0</v>
      </c>
      <c r="ABE56" s="90"/>
      <c r="ABF56" s="90">
        <v>0</v>
      </c>
      <c r="ABG56" s="90">
        <f t="shared" si="450"/>
        <v>0</v>
      </c>
      <c r="ABH56" s="90"/>
      <c r="ABI56" s="90">
        <f t="shared" si="451"/>
        <v>0</v>
      </c>
      <c r="ABJ56" s="90">
        <f t="shared" si="452"/>
        <v>0</v>
      </c>
      <c r="ABK56" s="90">
        <v>0</v>
      </c>
      <c r="ABL56" s="90">
        <f t="shared" si="453"/>
        <v>0</v>
      </c>
      <c r="ABM56" s="90">
        <f t="shared" si="454"/>
        <v>0</v>
      </c>
      <c r="ABN56" s="90">
        <f t="shared" si="455"/>
        <v>0</v>
      </c>
      <c r="ABO56" s="90">
        <v>4.3899999999999997</v>
      </c>
      <c r="ABP56" s="90">
        <f t="shared" si="456"/>
        <v>4.6100000000000003</v>
      </c>
      <c r="ABQ56" s="90">
        <f t="shared" si="457"/>
        <v>105.01138952164011</v>
      </c>
      <c r="ABR56" s="90">
        <f t="shared" si="458"/>
        <v>7.07</v>
      </c>
      <c r="ABS56" s="90">
        <f t="shared" si="459"/>
        <v>5.54</v>
      </c>
      <c r="ABT56" s="90">
        <v>4.22</v>
      </c>
      <c r="ABU56" s="90">
        <f t="shared" si="460"/>
        <v>4.22</v>
      </c>
      <c r="ABV56" s="90">
        <f t="shared" si="461"/>
        <v>100</v>
      </c>
      <c r="ABW56" s="90">
        <f t="shared" si="462"/>
        <v>0</v>
      </c>
      <c r="ABX56" s="90">
        <f t="shared" si="463"/>
        <v>4.22</v>
      </c>
      <c r="ABY56" s="97">
        <v>227</v>
      </c>
      <c r="ABZ56" s="97">
        <v>230.38</v>
      </c>
      <c r="ACA56" s="90">
        <f t="shared" si="464"/>
        <v>0.56999999999999995</v>
      </c>
      <c r="ACB56" s="90">
        <f t="shared" si="465"/>
        <v>0.2</v>
      </c>
      <c r="ACC56" s="90">
        <v>0.11989898989898991</v>
      </c>
      <c r="ACD56" s="90">
        <f t="shared" si="466"/>
        <v>0.19140000000000001</v>
      </c>
      <c r="ACE56" s="90">
        <v>0.38175323599898991</v>
      </c>
      <c r="ACF56" s="90">
        <v>0.71</v>
      </c>
      <c r="ACG56" s="90">
        <f t="shared" si="467"/>
        <v>0.77</v>
      </c>
      <c r="ACH56" s="90">
        <f t="shared" si="468"/>
        <v>108.45070422535213</v>
      </c>
      <c r="ACI56" s="90">
        <f t="shared" si="469"/>
        <v>19.600000000000001</v>
      </c>
      <c r="ACJ56" s="90">
        <f t="shared" si="470"/>
        <v>19.14</v>
      </c>
      <c r="ACK56" s="90">
        <f t="shared" si="471"/>
        <v>-0.46000000000000085</v>
      </c>
      <c r="ACL56" s="90"/>
      <c r="ACM56" s="90">
        <f t="shared" si="472"/>
        <v>19.600000000000001</v>
      </c>
      <c r="ACN56" s="90">
        <f t="shared" si="473"/>
        <v>0</v>
      </c>
      <c r="ACO56" s="90">
        <f t="shared" si="474"/>
        <v>19.600000000000001</v>
      </c>
      <c r="ACP56" s="90">
        <v>18.48</v>
      </c>
      <c r="ACQ56" s="90">
        <f t="shared" si="475"/>
        <v>106.06060606060606</v>
      </c>
      <c r="ACR56" s="90">
        <f t="shared" si="476"/>
        <v>0</v>
      </c>
      <c r="ACS56" s="90">
        <v>0</v>
      </c>
      <c r="ACT56" s="90"/>
      <c r="ACU56" s="90">
        <f t="shared" si="477"/>
        <v>19.42248</v>
      </c>
      <c r="ACV56" s="90">
        <f t="shared" si="478"/>
        <v>-0.17752000000000123</v>
      </c>
      <c r="ACX56" s="106" t="s">
        <v>563</v>
      </c>
      <c r="ACY56" s="107">
        <f>12500</f>
        <v>12500</v>
      </c>
      <c r="ACZ56" s="107">
        <v>150000</v>
      </c>
      <c r="ADB56" s="90">
        <f t="shared" si="479"/>
        <v>4.6100000000000003</v>
      </c>
      <c r="ADC56" s="90">
        <f t="shared" si="480"/>
        <v>10</v>
      </c>
      <c r="ADD56" s="90">
        <f t="shared" si="481"/>
        <v>4.9800000000000004</v>
      </c>
      <c r="ADE56" s="90">
        <f t="shared" si="517"/>
        <v>2.17</v>
      </c>
      <c r="ADF56" s="90">
        <f t="shared" si="483"/>
        <v>0.91</v>
      </c>
      <c r="ADG56" s="90">
        <f t="shared" si="554"/>
        <v>0.46</v>
      </c>
      <c r="ADH56" s="90">
        <f t="shared" si="554"/>
        <v>0.8</v>
      </c>
      <c r="ADI56" s="90">
        <f t="shared" si="554"/>
        <v>0</v>
      </c>
      <c r="ADJ56" s="90">
        <f t="shared" si="485"/>
        <v>2.85</v>
      </c>
      <c r="ADK56" s="90">
        <f t="shared" si="486"/>
        <v>0</v>
      </c>
      <c r="ADL56" s="90">
        <f t="shared" si="487"/>
        <v>0</v>
      </c>
      <c r="ADM56" s="90">
        <f t="shared" si="555"/>
        <v>0</v>
      </c>
      <c r="ADN56" s="90">
        <f t="shared" si="555"/>
        <v>0</v>
      </c>
      <c r="ADO56" s="90">
        <f t="shared" si="489"/>
        <v>2.85</v>
      </c>
      <c r="ADP56" s="90">
        <f t="shared" si="490"/>
        <v>4.22</v>
      </c>
      <c r="ADQ56" s="90">
        <f t="shared" si="491"/>
        <v>0.77</v>
      </c>
      <c r="ADR56" s="90">
        <f t="shared" si="492"/>
        <v>19.599999999999998</v>
      </c>
      <c r="ADU56" s="90">
        <f t="shared" si="493"/>
        <v>1.1499999999999999</v>
      </c>
      <c r="ADV56" s="90">
        <f t="shared" si="494"/>
        <v>0.91</v>
      </c>
      <c r="ADW56" s="90">
        <f t="shared" si="495"/>
        <v>2.85</v>
      </c>
      <c r="ADX56" s="90">
        <f t="shared" si="496"/>
        <v>4.6100000000000003</v>
      </c>
      <c r="ADY56" s="90">
        <f t="shared" si="497"/>
        <v>9.620000000000001</v>
      </c>
      <c r="ADZ56" s="90">
        <f t="shared" si="498"/>
        <v>0</v>
      </c>
      <c r="AEA56" s="90">
        <f t="shared" si="499"/>
        <v>19.600000000000001</v>
      </c>
      <c r="AEB56" s="90">
        <f t="shared" si="500"/>
        <v>0</v>
      </c>
      <c r="AEC56" s="104">
        <f t="shared" si="501"/>
        <v>19.14</v>
      </c>
      <c r="AED56" s="104">
        <f t="shared" si="502"/>
        <v>0.46000000000000085</v>
      </c>
      <c r="AEG56" s="1">
        <v>9.16</v>
      </c>
      <c r="AEH56" s="1">
        <v>4.97</v>
      </c>
      <c r="AEI56" s="1">
        <v>0.62</v>
      </c>
      <c r="AEJ56" s="1">
        <v>2.77</v>
      </c>
      <c r="AEK56" s="1">
        <v>0</v>
      </c>
      <c r="AEL56" s="1">
        <v>0.8</v>
      </c>
      <c r="AEM56" s="1">
        <v>0</v>
      </c>
      <c r="AEN56" s="1">
        <v>0</v>
      </c>
      <c r="AEO56" s="1">
        <v>0</v>
      </c>
      <c r="AEP56" s="1">
        <v>0</v>
      </c>
      <c r="AEQ56" s="1">
        <v>0</v>
      </c>
      <c r="AER56" s="1">
        <v>0</v>
      </c>
      <c r="AES56" s="1">
        <v>0</v>
      </c>
      <c r="AET56" s="1">
        <v>0</v>
      </c>
      <c r="AEU56" s="1">
        <v>0</v>
      </c>
      <c r="AEV56" s="1">
        <v>0</v>
      </c>
      <c r="AEW56" s="1">
        <v>4.3899999999999997</v>
      </c>
      <c r="AEX56" s="1">
        <v>6.99</v>
      </c>
      <c r="AEY56" s="1">
        <v>5.54</v>
      </c>
      <c r="AEZ56" s="1">
        <v>4.22</v>
      </c>
      <c r="AFA56" s="1">
        <v>0</v>
      </c>
      <c r="AFB56" s="1">
        <v>4.22</v>
      </c>
      <c r="AFC56" s="1">
        <v>227</v>
      </c>
      <c r="AFD56" s="1">
        <v>230.38</v>
      </c>
      <c r="AFE56" s="1">
        <v>0.53</v>
      </c>
      <c r="AFF56" s="1">
        <v>0.18</v>
      </c>
      <c r="AFG56" s="1">
        <v>0.11989898989898991</v>
      </c>
      <c r="AFH56" s="1">
        <v>0.18480000000000002</v>
      </c>
      <c r="AFI56" s="1">
        <v>0.38175323599898991</v>
      </c>
      <c r="AFJ56" s="1">
        <v>0.71</v>
      </c>
      <c r="AFK56" s="1">
        <v>18.48</v>
      </c>
      <c r="AFL56" s="1">
        <v>18.48</v>
      </c>
      <c r="AFM56" s="1">
        <v>0</v>
      </c>
      <c r="AFO56" s="1">
        <v>18.48</v>
      </c>
      <c r="AFP56" s="1">
        <v>0</v>
      </c>
      <c r="AFQ56" s="1">
        <v>18.489999999999998</v>
      </c>
      <c r="AFX56" s="1">
        <v>19.329999999999998</v>
      </c>
    </row>
    <row r="57" spans="1:856" s="1" customFormat="1" ht="63.75" customHeight="1">
      <c r="A57" s="88">
        <v>49</v>
      </c>
      <c r="B57" s="20"/>
      <c r="C57" s="89" t="s">
        <v>564</v>
      </c>
      <c r="D57" s="20"/>
      <c r="E57" s="20" t="s">
        <v>536</v>
      </c>
      <c r="F57" s="20" t="s">
        <v>537</v>
      </c>
      <c r="G57" s="20">
        <v>1.2</v>
      </c>
      <c r="H57" s="20">
        <v>1416.9</v>
      </c>
      <c r="I57" s="20">
        <f>1416.9+1.6+1.9-1.9</f>
        <v>1418.5</v>
      </c>
      <c r="J57" s="20">
        <f t="shared" si="0"/>
        <v>1702.2</v>
      </c>
      <c r="K57" s="20">
        <v>27</v>
      </c>
      <c r="L57" s="20">
        <v>69</v>
      </c>
      <c r="M57" s="20">
        <v>77</v>
      </c>
      <c r="N57" s="20">
        <v>1899.08</v>
      </c>
      <c r="O57" s="90">
        <f t="shared" si="1"/>
        <v>1.34</v>
      </c>
      <c r="P57" s="20">
        <v>5184</v>
      </c>
      <c r="Q57" s="90">
        <f t="shared" si="613"/>
        <v>432</v>
      </c>
      <c r="R57" s="90">
        <f t="shared" si="2"/>
        <v>0.3</v>
      </c>
      <c r="S57" s="20">
        <v>152</v>
      </c>
      <c r="T57" s="20">
        <v>2.6</v>
      </c>
      <c r="U57" s="20">
        <v>3.13</v>
      </c>
      <c r="V57" s="91">
        <f t="shared" si="3"/>
        <v>1236.98</v>
      </c>
      <c r="W57" s="20">
        <v>2.1000000000000001E-2</v>
      </c>
      <c r="X57" s="20">
        <f t="shared" si="4"/>
        <v>33.42</v>
      </c>
      <c r="Y57" s="91">
        <f t="shared" si="5"/>
        <v>106.68</v>
      </c>
      <c r="Z57" s="20">
        <v>1.7999999999999999E-2</v>
      </c>
      <c r="AA57" s="20">
        <f t="shared" si="561"/>
        <v>171.12</v>
      </c>
      <c r="AB57" s="91">
        <f t="shared" si="562"/>
        <v>468.18</v>
      </c>
      <c r="AC57" s="91">
        <f t="shared" si="6"/>
        <v>1811.84</v>
      </c>
      <c r="AD57" s="90">
        <f t="shared" si="7"/>
        <v>1.28</v>
      </c>
      <c r="AE57" s="92">
        <f t="shared" si="8"/>
        <v>21742.079999999998</v>
      </c>
      <c r="AF57" s="20">
        <v>78</v>
      </c>
      <c r="AG57" s="20">
        <v>69</v>
      </c>
      <c r="AH57" s="20">
        <v>69</v>
      </c>
      <c r="AI57" s="20">
        <v>60</v>
      </c>
      <c r="AJ57" s="20">
        <v>1.6</v>
      </c>
      <c r="AK57" s="90">
        <f t="shared" si="9"/>
        <v>9.1999999999999993</v>
      </c>
      <c r="AL57" s="90">
        <v>391.01</v>
      </c>
      <c r="AM57" s="90">
        <f t="shared" si="10"/>
        <v>3597.29</v>
      </c>
      <c r="AN57" s="20">
        <v>79</v>
      </c>
      <c r="AO57" s="20">
        <v>71</v>
      </c>
      <c r="AP57" s="20">
        <v>78</v>
      </c>
      <c r="AQ57" s="20">
        <v>79</v>
      </c>
      <c r="AR57" s="20">
        <v>71</v>
      </c>
      <c r="AS57" s="20">
        <v>70</v>
      </c>
      <c r="AT57" s="20">
        <f t="shared" si="11"/>
        <v>9</v>
      </c>
      <c r="AU57" s="20">
        <v>1.6</v>
      </c>
      <c r="AV57" s="90">
        <f t="shared" si="12"/>
        <v>10.4</v>
      </c>
      <c r="AW57" s="90">
        <f t="shared" si="551"/>
        <v>188.88</v>
      </c>
      <c r="AX57" s="90">
        <v>1762.88</v>
      </c>
      <c r="AY57" s="90">
        <f t="shared" si="14"/>
        <v>1.24</v>
      </c>
      <c r="AZ57" s="90">
        <f t="shared" si="15"/>
        <v>4066.5</v>
      </c>
      <c r="BA57" s="90">
        <f t="shared" si="16"/>
        <v>-2303.62</v>
      </c>
      <c r="BB57" s="90">
        <v>1762.88</v>
      </c>
      <c r="BC57" s="90">
        <v>1.24</v>
      </c>
      <c r="BD57" s="92">
        <f t="shared" si="17"/>
        <v>21154.560000000001</v>
      </c>
      <c r="BE57" s="90"/>
      <c r="BF57" s="90">
        <f t="shared" si="18"/>
        <v>0</v>
      </c>
      <c r="BG57" s="90">
        <v>391.01</v>
      </c>
      <c r="BH57" s="90">
        <f t="shared" si="19"/>
        <v>4066.5</v>
      </c>
      <c r="BI57" s="90">
        <f t="shared" si="20"/>
        <v>2.87</v>
      </c>
      <c r="BJ57" s="90">
        <f t="shared" si="21"/>
        <v>231.45161290322579</v>
      </c>
      <c r="BK57" s="90">
        <f t="shared" si="22"/>
        <v>4066.5</v>
      </c>
      <c r="BL57" s="90">
        <f t="shared" si="23"/>
        <v>2.87</v>
      </c>
      <c r="BM57" s="90"/>
      <c r="BN57" s="90">
        <f t="shared" si="24"/>
        <v>0</v>
      </c>
      <c r="BO57" s="90">
        <f t="shared" si="25"/>
        <v>4066.5</v>
      </c>
      <c r="BP57" s="90">
        <f t="shared" si="26"/>
        <v>2.8667606626718363</v>
      </c>
      <c r="BQ57" s="90"/>
      <c r="BR57" s="90">
        <f t="shared" si="27"/>
        <v>0</v>
      </c>
      <c r="BS57" s="90">
        <f t="shared" si="28"/>
        <v>4066.5</v>
      </c>
      <c r="BT57" s="90">
        <f t="shared" si="29"/>
        <v>2.8667606626718363</v>
      </c>
      <c r="BU57" s="90"/>
      <c r="BV57" s="93">
        <v>1.7027650000000001</v>
      </c>
      <c r="BW57" s="90">
        <f t="shared" si="30"/>
        <v>2415.3721525000001</v>
      </c>
      <c r="BX57" s="90">
        <f t="shared" si="31"/>
        <v>2560.2944816500003</v>
      </c>
      <c r="BY57" s="90"/>
      <c r="BZ57" s="90">
        <v>3309.1230506100005</v>
      </c>
      <c r="CA57" s="90">
        <v>0.37305430897000003</v>
      </c>
      <c r="CB57" s="90">
        <f t="shared" si="556"/>
        <v>529.17753727394506</v>
      </c>
      <c r="CC57" s="90">
        <v>0.37305430897000003</v>
      </c>
      <c r="CD57" s="90">
        <f t="shared" si="563"/>
        <v>529.17753727394506</v>
      </c>
      <c r="CE57" s="90">
        <f t="shared" si="564"/>
        <v>529.17753727394506</v>
      </c>
      <c r="CF57" s="90">
        <f>I57*0.361793891</f>
        <v>513.20463438349998</v>
      </c>
      <c r="CG57" s="90">
        <f>I57*0.361793891</f>
        <v>513.20463438349998</v>
      </c>
      <c r="CH57" s="90">
        <f t="shared" si="565"/>
        <v>513.20000000000005</v>
      </c>
      <c r="CI57" s="90">
        <f t="shared" si="601"/>
        <v>540.54286491178539</v>
      </c>
      <c r="CJ57" s="90">
        <f t="shared" si="36"/>
        <v>541.42999999999995</v>
      </c>
      <c r="CK57" s="90">
        <f t="shared" si="37"/>
        <v>583.17669500831448</v>
      </c>
      <c r="CL57" s="90">
        <f t="shared" si="38"/>
        <v>583.17669500831448</v>
      </c>
      <c r="CM57" s="94">
        <v>0.14899999999999999</v>
      </c>
      <c r="CN57" s="90">
        <f t="shared" si="39"/>
        <v>359.89045072250002</v>
      </c>
      <c r="CO57" s="90">
        <f t="shared" si="40"/>
        <v>381.48387776585002</v>
      </c>
      <c r="CP57" s="90">
        <v>493.05994650000002</v>
      </c>
      <c r="CQ57" s="90">
        <v>5.0232736819999999E-2</v>
      </c>
      <c r="CR57" s="90">
        <f t="shared" si="557"/>
        <v>71.255137179169992</v>
      </c>
      <c r="CS57" s="90">
        <v>5.0232736819999999E-2</v>
      </c>
      <c r="CT57" s="90">
        <f t="shared" si="566"/>
        <v>71.255137179169992</v>
      </c>
      <c r="CU57" s="90">
        <f t="shared" si="567"/>
        <v>71.255137179169992</v>
      </c>
      <c r="CV57" s="90">
        <f>I57*0.103779163</f>
        <v>147.2107427155</v>
      </c>
      <c r="CW57" s="90">
        <f t="shared" si="568"/>
        <v>147.21</v>
      </c>
      <c r="CX57" s="90">
        <f t="shared" si="602"/>
        <v>155.05322514353844</v>
      </c>
      <c r="CY57" s="90">
        <f t="shared" si="45"/>
        <v>155.31</v>
      </c>
      <c r="CZ57" s="90">
        <f t="shared" si="46"/>
        <v>167.28262134094695</v>
      </c>
      <c r="DA57" s="90">
        <f t="shared" si="47"/>
        <v>167.28262134094695</v>
      </c>
      <c r="DB57" s="93">
        <v>1.1979820000000001</v>
      </c>
      <c r="DC57" s="90">
        <f t="shared" si="48"/>
        <v>1699.3374670000001</v>
      </c>
      <c r="DD57" s="90">
        <f t="shared" si="49"/>
        <v>1801.2977150200002</v>
      </c>
      <c r="DE57" s="90"/>
      <c r="DF57" s="90">
        <v>960.04116434088928</v>
      </c>
      <c r="DG57" s="90">
        <v>0.28219173505</v>
      </c>
      <c r="DH57" s="90">
        <f t="shared" si="558"/>
        <v>400.28897616842499</v>
      </c>
      <c r="DI57" s="90">
        <v>0.28219173505</v>
      </c>
      <c r="DJ57" s="90">
        <f t="shared" si="569"/>
        <v>400.28897616842499</v>
      </c>
      <c r="DK57" s="90">
        <f t="shared" si="570"/>
        <v>400.28897616842499</v>
      </c>
      <c r="DL57" s="90">
        <f>I57*0.228495796</f>
        <v>324.12128662600003</v>
      </c>
      <c r="DM57" s="90">
        <f t="shared" si="571"/>
        <v>324.12</v>
      </c>
      <c r="DN57" s="90">
        <f t="shared" si="603"/>
        <v>341.38884133906447</v>
      </c>
      <c r="DO57" s="90">
        <f t="shared" si="54"/>
        <v>341.95</v>
      </c>
      <c r="DP57" s="90">
        <f t="shared" si="55"/>
        <v>368.31494619270239</v>
      </c>
      <c r="DQ57" s="90">
        <f t="shared" si="56"/>
        <v>368.31494619270239</v>
      </c>
      <c r="DR57" s="93">
        <v>4.2594E-2</v>
      </c>
      <c r="DS57" s="90">
        <f t="shared" si="57"/>
        <v>60.419589000000002</v>
      </c>
      <c r="DT57" s="90">
        <f t="shared" si="58"/>
        <v>64.04476434</v>
      </c>
      <c r="DU57" s="90">
        <v>36.311871658920829</v>
      </c>
      <c r="DV57" s="90">
        <v>1.366632888E-2</v>
      </c>
      <c r="DW57" s="90">
        <f t="shared" si="559"/>
        <v>19.385687516280001</v>
      </c>
      <c r="DX57" s="90">
        <v>1.366632888E-2</v>
      </c>
      <c r="DY57" s="90">
        <f t="shared" si="572"/>
        <v>19.385687516280001</v>
      </c>
      <c r="DZ57" s="90">
        <f t="shared" si="573"/>
        <v>19.385687516280001</v>
      </c>
      <c r="EA57" s="90">
        <f t="shared" si="574"/>
        <v>19.39</v>
      </c>
      <c r="EB57" s="90">
        <f t="shared" si="604"/>
        <v>20.423082912391891</v>
      </c>
      <c r="EC57" s="90">
        <f t="shared" si="63"/>
        <v>20.46</v>
      </c>
      <c r="ED57" s="90">
        <f t="shared" si="64"/>
        <v>22.033897342578364</v>
      </c>
      <c r="EE57" s="90">
        <f t="shared" si="65"/>
        <v>22.033897342578364</v>
      </c>
      <c r="EF57" s="94">
        <v>0.85293354333000004</v>
      </c>
      <c r="EG57" s="90">
        <f t="shared" si="66"/>
        <v>1451.8634774563261</v>
      </c>
      <c r="EH57" s="90">
        <f t="shared" si="67"/>
        <v>1538.9752861037057</v>
      </c>
      <c r="EI57" s="90">
        <v>1241.3971605415106</v>
      </c>
      <c r="EJ57" s="90">
        <v>0.13912706999999999</v>
      </c>
      <c r="EK57" s="90">
        <f>$J57*EJ57</f>
        <v>236.82209855399998</v>
      </c>
      <c r="EL57" s="90">
        <v>0.16695248382</v>
      </c>
      <c r="EM57" s="90">
        <f t="shared" si="575"/>
        <v>236.82209829867</v>
      </c>
      <c r="EN57" s="90">
        <f t="shared" si="576"/>
        <v>236.82209829867</v>
      </c>
      <c r="EO57" s="90">
        <f>J57*0.135381707</f>
        <v>230.44674165539999</v>
      </c>
      <c r="EP57" s="90">
        <f t="shared" si="577"/>
        <v>230.45</v>
      </c>
      <c r="EQ57" s="90">
        <f t="shared" si="605"/>
        <v>242.7281824219036</v>
      </c>
      <c r="ER57" s="90">
        <f t="shared" si="72"/>
        <v>243.12</v>
      </c>
      <c r="ES57" s="90">
        <f t="shared" si="73"/>
        <v>261.87269946349579</v>
      </c>
      <c r="ET57" s="90">
        <f t="shared" si="74"/>
        <v>261.87269946349579</v>
      </c>
      <c r="EU57" s="94">
        <v>0.14899999999999999</v>
      </c>
      <c r="EV57" s="90">
        <f t="shared" si="75"/>
        <v>216.32765814099258</v>
      </c>
      <c r="EW57" s="90">
        <f t="shared" si="76"/>
        <v>229.30731762945214</v>
      </c>
      <c r="EX57" s="90">
        <v>184.99285267875544</v>
      </c>
      <c r="EY57" s="90">
        <v>2.0730999999999999E-2</v>
      </c>
      <c r="EZ57" s="90">
        <f>$J57*EY57</f>
        <v>35.288308200000003</v>
      </c>
      <c r="FA57" s="90">
        <v>2.4876671749999999E-2</v>
      </c>
      <c r="FB57" s="90">
        <f t="shared" si="578"/>
        <v>35.287558877374998</v>
      </c>
      <c r="FC57" s="90">
        <f t="shared" si="579"/>
        <v>35.287558877374998</v>
      </c>
      <c r="FD57" s="90">
        <f>J57*0.041845299</f>
        <v>71.229067957800012</v>
      </c>
      <c r="FE57" s="90">
        <f t="shared" si="580"/>
        <v>71.23</v>
      </c>
      <c r="FF57" s="90">
        <f t="shared" si="606"/>
        <v>75.025074566770215</v>
      </c>
      <c r="FG57" s="90">
        <f t="shared" si="81"/>
        <v>75.150000000000006</v>
      </c>
      <c r="FH57" s="90">
        <f t="shared" si="82"/>
        <v>80.942470743262348</v>
      </c>
      <c r="FI57" s="90">
        <f t="shared" si="83"/>
        <v>80.942470743262348</v>
      </c>
      <c r="FJ57" s="93">
        <v>0.49981642240000002</v>
      </c>
      <c r="FK57" s="90">
        <f t="shared" si="84"/>
        <v>850.78751420928006</v>
      </c>
      <c r="FL57" s="90">
        <f t="shared" si="85"/>
        <v>901.83476506183695</v>
      </c>
      <c r="FM57" s="90">
        <v>684.78096344624839</v>
      </c>
      <c r="FN57" s="90">
        <v>8.9680701000000002E-2</v>
      </c>
      <c r="FO57" s="90">
        <f>$J57*FN57</f>
        <v>152.65448924220001</v>
      </c>
      <c r="FP57" s="90">
        <v>0.10761684168000001</v>
      </c>
      <c r="FQ57" s="90">
        <f t="shared" si="581"/>
        <v>152.65448992308001</v>
      </c>
      <c r="FR57" s="90">
        <f t="shared" si="582"/>
        <v>152.65448992308001</v>
      </c>
      <c r="FS57" s="90">
        <f>J57*0.069578257</f>
        <v>118.4361090654</v>
      </c>
      <c r="FT57" s="90">
        <f t="shared" si="89"/>
        <v>124.12</v>
      </c>
      <c r="FU57" s="90">
        <f>J57*0.0818196</f>
        <v>139.27332312000001</v>
      </c>
      <c r="FV57" s="90">
        <f t="shared" si="583"/>
        <v>139.27000000000001</v>
      </c>
      <c r="FW57" s="90">
        <f t="shared" si="607"/>
        <v>146.69018861314177</v>
      </c>
      <c r="FX57" s="90">
        <f t="shared" si="91"/>
        <v>146.93</v>
      </c>
      <c r="FY57" s="90">
        <f t="shared" si="92"/>
        <v>158.25997333166009</v>
      </c>
      <c r="FZ57" s="90">
        <f t="shared" si="93"/>
        <v>158.25997333166009</v>
      </c>
      <c r="GA57" s="94">
        <v>1.352261642E-2</v>
      </c>
      <c r="GB57" s="90">
        <f t="shared" si="94"/>
        <v>23.018197670124</v>
      </c>
      <c r="GC57" s="90">
        <f t="shared" si="95"/>
        <v>24.399289530331441</v>
      </c>
      <c r="GD57" s="90">
        <v>19.988318542462039</v>
      </c>
      <c r="GE57" s="90">
        <v>2.4269999999999999E-3</v>
      </c>
      <c r="GF57" s="90">
        <f>$J57*GE57</f>
        <v>4.1312394000000001</v>
      </c>
      <c r="GG57" s="90">
        <v>2.9119942899999999E-3</v>
      </c>
      <c r="GH57" s="90">
        <f t="shared" si="584"/>
        <v>4.1306639003649996</v>
      </c>
      <c r="GI57" s="90">
        <f t="shared" si="585"/>
        <v>4.1306639003649996</v>
      </c>
      <c r="GJ57" s="90">
        <f t="shared" si="586"/>
        <v>4.13</v>
      </c>
      <c r="GK57" s="90">
        <f t="shared" si="608"/>
        <v>4.3500429307982724</v>
      </c>
      <c r="GL57" s="90">
        <f t="shared" si="100"/>
        <v>4.3600000000000003</v>
      </c>
      <c r="GM57" s="90">
        <f t="shared" si="101"/>
        <v>4.6931405892134421</v>
      </c>
      <c r="GN57" s="90">
        <f t="shared" si="102"/>
        <v>4.6931405892134421</v>
      </c>
      <c r="GO57" s="90">
        <v>5443.2</v>
      </c>
      <c r="GP57" s="90">
        <f t="shared" ref="GP57:GP60" si="622">GO57/12</f>
        <v>453.59999999999997</v>
      </c>
      <c r="GQ57" s="90">
        <f t="shared" si="614"/>
        <v>4403.7</v>
      </c>
      <c r="GR57" s="90">
        <f t="shared" si="104"/>
        <v>366.97499999999997</v>
      </c>
      <c r="GS57" s="90">
        <f t="shared" si="105"/>
        <v>820.57499999999993</v>
      </c>
      <c r="GT57" s="90">
        <f t="shared" si="106"/>
        <v>0.57999999999999996</v>
      </c>
      <c r="GU57" s="90">
        <v>6217.56</v>
      </c>
      <c r="GV57" s="90">
        <f t="shared" si="615"/>
        <v>4179.24</v>
      </c>
      <c r="GW57" s="90">
        <f t="shared" si="107"/>
        <v>866.4</v>
      </c>
      <c r="GX57" s="90">
        <f t="shared" si="108"/>
        <v>0.61</v>
      </c>
      <c r="GY57" s="90">
        <v>11111.58</v>
      </c>
      <c r="GZ57" s="90">
        <f t="shared" si="616"/>
        <v>4449.42</v>
      </c>
      <c r="HA57" s="90">
        <f t="shared" si="109"/>
        <v>1296.75</v>
      </c>
      <c r="HB57" s="90">
        <f t="shared" si="110"/>
        <v>0.91</v>
      </c>
      <c r="HC57" s="90">
        <v>11111.58</v>
      </c>
      <c r="HD57" s="90">
        <f t="shared" si="617"/>
        <v>4449.42</v>
      </c>
      <c r="HE57" s="90">
        <f t="shared" si="111"/>
        <v>1296.75</v>
      </c>
      <c r="HF57" s="90">
        <f t="shared" si="112"/>
        <v>0.91</v>
      </c>
      <c r="HG57" s="90"/>
      <c r="HH57" s="90"/>
      <c r="HI57" s="90">
        <v>0.96</v>
      </c>
      <c r="HJ57" s="90">
        <f t="shared" si="113"/>
        <v>1361.76</v>
      </c>
      <c r="HK57" s="90">
        <f t="shared" si="114"/>
        <v>1.009918928445541</v>
      </c>
      <c r="HL57" s="90">
        <f t="shared" si="587"/>
        <v>1432.57</v>
      </c>
      <c r="HM57" s="90">
        <v>1.07</v>
      </c>
      <c r="HN57" s="90">
        <f t="shared" si="116"/>
        <v>1517.7950000000001</v>
      </c>
      <c r="HO57" s="90">
        <v>1.1499999999999999</v>
      </c>
      <c r="HP57" s="90">
        <f t="shared" si="117"/>
        <v>1631.28</v>
      </c>
      <c r="HQ57" s="90">
        <v>1.1499999999999999</v>
      </c>
      <c r="HR57" s="90">
        <f t="shared" si="118"/>
        <v>1631.28</v>
      </c>
      <c r="HS57" s="90">
        <v>0.96</v>
      </c>
      <c r="HT57" s="90">
        <f t="shared" si="588"/>
        <v>1361.76</v>
      </c>
      <c r="HU57" s="90" t="e">
        <f>HT57*#REF!</f>
        <v>#REF!</v>
      </c>
      <c r="HV57" s="90">
        <v>2.83</v>
      </c>
      <c r="HW57" s="20">
        <v>3.49</v>
      </c>
      <c r="HX57" s="90">
        <f t="shared" si="120"/>
        <v>4950.5650000000005</v>
      </c>
      <c r="HY57" s="90">
        <v>1.06</v>
      </c>
      <c r="HZ57" s="90">
        <f t="shared" si="121"/>
        <v>5247.5989000000009</v>
      </c>
      <c r="IA57" s="90">
        <f t="shared" si="122"/>
        <v>3.7</v>
      </c>
      <c r="IB57" s="90">
        <f t="shared" si="123"/>
        <v>3.88</v>
      </c>
      <c r="IC57" s="90">
        <f t="shared" si="124"/>
        <v>5503.78</v>
      </c>
      <c r="ID57" s="90">
        <f t="shared" si="125"/>
        <v>4.09</v>
      </c>
      <c r="IE57" s="90">
        <f t="shared" si="126"/>
        <v>5801.67</v>
      </c>
      <c r="IF57" s="90">
        <f t="shared" si="127"/>
        <v>4.09</v>
      </c>
      <c r="IG57" s="92">
        <f t="shared" si="128"/>
        <v>69620.040000000008</v>
      </c>
      <c r="IH57" s="90">
        <v>4.3899999999999997</v>
      </c>
      <c r="II57" s="90">
        <f t="shared" si="129"/>
        <v>4.6100000000000003</v>
      </c>
      <c r="IJ57" s="90">
        <f t="shared" si="130"/>
        <v>6539.29</v>
      </c>
      <c r="IK57" s="90">
        <f t="shared" si="131"/>
        <v>4.6100000000000003</v>
      </c>
      <c r="IL57" s="90">
        <f t="shared" si="132"/>
        <v>6539.29</v>
      </c>
      <c r="IM57" s="90">
        <f t="shared" si="133"/>
        <v>4.6100000000000003</v>
      </c>
      <c r="IN57" s="90">
        <f t="shared" si="134"/>
        <v>6539.29</v>
      </c>
      <c r="IO57" s="90">
        <f t="shared" si="135"/>
        <v>4.6100000000000003</v>
      </c>
      <c r="IP57" s="93">
        <v>0.37052404126999999</v>
      </c>
      <c r="IQ57" s="90">
        <f t="shared" si="136"/>
        <v>630.706023049794</v>
      </c>
      <c r="IR57" s="90">
        <f t="shared" si="137"/>
        <v>668.54838443278163</v>
      </c>
      <c r="IS57" s="90">
        <v>18121.54</v>
      </c>
      <c r="IT57" s="90">
        <v>509.05</v>
      </c>
      <c r="IU57" s="90"/>
      <c r="IV57" s="90">
        <v>337.14975658801626</v>
      </c>
      <c r="IW57" s="90">
        <v>1.5759999899999999</v>
      </c>
      <c r="IX57" s="90">
        <f>$J57*IW57</f>
        <v>2682.6671829779998</v>
      </c>
      <c r="IY57" s="90">
        <v>1.89119998663</v>
      </c>
      <c r="IZ57" s="90">
        <f t="shared" si="139"/>
        <v>2682.6671810346552</v>
      </c>
      <c r="JA57" s="90">
        <f t="shared" si="589"/>
        <v>2611.7399999999998</v>
      </c>
      <c r="JB57" s="90">
        <f t="shared" si="609"/>
        <v>2750.8913133373071</v>
      </c>
      <c r="JC57" s="90">
        <f t="shared" si="141"/>
        <v>2755.39</v>
      </c>
      <c r="JD57" s="90">
        <f t="shared" si="142"/>
        <v>2967.860291155524</v>
      </c>
      <c r="JE57" s="90">
        <f t="shared" si="143"/>
        <v>2967.860291155524</v>
      </c>
      <c r="JF57" s="93">
        <v>4.2278943710000003E-2</v>
      </c>
      <c r="JG57" s="90">
        <f t="shared" si="144"/>
        <v>71.967217983162001</v>
      </c>
      <c r="JH57" s="90">
        <f t="shared" si="145"/>
        <v>76.28525106215173</v>
      </c>
      <c r="JI57" s="20">
        <v>101.71</v>
      </c>
      <c r="JJ57" s="90">
        <v>42.906520897782421</v>
      </c>
      <c r="JK57" s="90">
        <v>0.17965900000000001</v>
      </c>
      <c r="JL57" s="90">
        <f>$J57*JK57</f>
        <v>305.81554980000004</v>
      </c>
      <c r="JM57" s="90">
        <v>0.21559114040999999</v>
      </c>
      <c r="JN57" s="90">
        <f t="shared" si="147"/>
        <v>305.81603267158499</v>
      </c>
      <c r="JO57" s="90">
        <f t="shared" si="590"/>
        <v>305.82</v>
      </c>
      <c r="JP57" s="90">
        <f t="shared" si="610"/>
        <v>322.11383271107212</v>
      </c>
      <c r="JQ57" s="90">
        <f t="shared" si="149"/>
        <v>322.64</v>
      </c>
      <c r="JR57" s="90">
        <f t="shared" si="150"/>
        <v>347.51967433250729</v>
      </c>
      <c r="JS57" s="90">
        <f t="shared" si="151"/>
        <v>347.51967433250729</v>
      </c>
      <c r="JT57" s="93">
        <v>7.3220517000000002E-3</v>
      </c>
      <c r="JU57" s="90">
        <f t="shared" si="152"/>
        <v>12.46359640374</v>
      </c>
      <c r="JV57" s="90">
        <f t="shared" si="591"/>
        <v>12.46</v>
      </c>
      <c r="JW57" s="90">
        <f t="shared" si="611"/>
        <v>13.123858333594788</v>
      </c>
      <c r="JX57" s="90">
        <f t="shared" si="154"/>
        <v>13.15</v>
      </c>
      <c r="JY57" s="90">
        <f t="shared" si="155"/>
        <v>14.158966523389706</v>
      </c>
      <c r="JZ57" s="90">
        <f t="shared" si="156"/>
        <v>14.158966523389706</v>
      </c>
      <c r="KA57" s="90">
        <v>7.3220500000000001E-3</v>
      </c>
      <c r="KB57" s="90">
        <f>$J57*KA57</f>
        <v>12.463593510000001</v>
      </c>
      <c r="KC57" s="90" t="e">
        <f>KB57*#REF!</f>
        <v>#REF!</v>
      </c>
      <c r="KD57" s="90">
        <v>17952.740000000002</v>
      </c>
      <c r="KE57" s="90">
        <v>22700.14</v>
      </c>
      <c r="KF57" s="90"/>
      <c r="KG57" s="90">
        <f t="shared" si="550"/>
        <v>1793.6063570240531</v>
      </c>
      <c r="KH57" s="90" t="e">
        <f>KG57/(BW57+#REF!)*(CB57+#REF!)</f>
        <v>#REF!</v>
      </c>
      <c r="KI57" s="90">
        <v>0.8</v>
      </c>
      <c r="KJ57" s="94"/>
      <c r="KK57" s="90">
        <f t="shared" si="159"/>
        <v>0</v>
      </c>
      <c r="KL57" s="93">
        <v>1.7272052</v>
      </c>
      <c r="KM57" s="90">
        <f>$I57*KL57</f>
        <v>2450.0405762</v>
      </c>
      <c r="KN57" s="90">
        <f t="shared" si="161"/>
        <v>2597.0430107720003</v>
      </c>
      <c r="KO57" s="90" t="e">
        <f>BW57+CN57+DC57+DS57+EG57+EV57+FK57+GB57+#REF!+#REF!+HJ57+HX57+IQ57+JG57+JU57+KK57+KM57</f>
        <v>#REF!</v>
      </c>
      <c r="KP57" s="90">
        <v>1931.3267489279074</v>
      </c>
      <c r="KQ57" s="90">
        <v>0.28334929455000002</v>
      </c>
      <c r="KR57" s="90">
        <f t="shared" si="560"/>
        <v>401.93097431917505</v>
      </c>
      <c r="KS57" s="90">
        <v>0.28334929455000002</v>
      </c>
      <c r="KT57" s="90">
        <f t="shared" si="592"/>
        <v>401.93097431917505</v>
      </c>
      <c r="KU57" s="90">
        <f t="shared" si="593"/>
        <v>401.93097431917505</v>
      </c>
      <c r="KV57" s="90">
        <f t="shared" si="594"/>
        <v>401.93</v>
      </c>
      <c r="KW57" s="90">
        <f t="shared" si="612"/>
        <v>423.34449277863189</v>
      </c>
      <c r="KX57" s="90">
        <f t="shared" si="166"/>
        <v>424.04</v>
      </c>
      <c r="KY57" s="90">
        <f t="shared" si="167"/>
        <v>456.73462397640645</v>
      </c>
      <c r="KZ57" s="90">
        <f t="shared" si="168"/>
        <v>456.73462397640645</v>
      </c>
      <c r="LA57" s="90">
        <f t="shared" si="169"/>
        <v>6553.4699999999993</v>
      </c>
      <c r="LB57" s="90">
        <f t="shared" si="170"/>
        <v>4.62</v>
      </c>
      <c r="LC57" s="92">
        <f t="shared" si="171"/>
        <v>78641.639999999985</v>
      </c>
      <c r="LD57" s="92">
        <v>4.97</v>
      </c>
      <c r="LE57" s="92">
        <v>7049.9500000000007</v>
      </c>
      <c r="LF57" s="90">
        <f t="shared" si="172"/>
        <v>4.9800000000000004</v>
      </c>
      <c r="LG57" s="90">
        <f t="shared" si="173"/>
        <v>7064.13</v>
      </c>
      <c r="LH57" s="90">
        <f t="shared" si="174"/>
        <v>7044.9802499999987</v>
      </c>
      <c r="LI57" s="90">
        <f t="shared" si="175"/>
        <v>4.97</v>
      </c>
      <c r="LJ57" s="90">
        <f t="shared" si="176"/>
        <v>7064.130000000001</v>
      </c>
      <c r="LK57" s="90">
        <f t="shared" si="177"/>
        <v>4.9800000000000004</v>
      </c>
      <c r="LL57" s="90">
        <f t="shared" si="178"/>
        <v>7064.130000000001</v>
      </c>
      <c r="LM57" s="90">
        <f t="shared" si="179"/>
        <v>4.9800000000000004</v>
      </c>
      <c r="LN57" s="95">
        <v>0.46</v>
      </c>
      <c r="LO57" s="95">
        <f t="shared" si="180"/>
        <v>652.51</v>
      </c>
      <c r="LP57" s="95"/>
      <c r="LQ57" s="95">
        <f t="shared" si="181"/>
        <v>0</v>
      </c>
      <c r="LR57" s="90"/>
      <c r="LS57" s="90"/>
      <c r="LT57" s="90">
        <f t="shared" si="182"/>
        <v>0</v>
      </c>
      <c r="LU57" s="90"/>
      <c r="LV57" s="90">
        <f t="shared" si="183"/>
        <v>0</v>
      </c>
      <c r="LW57" s="90">
        <f t="shared" si="184"/>
        <v>0</v>
      </c>
      <c r="LX57" s="90"/>
      <c r="LY57" s="90"/>
      <c r="LZ57" s="90">
        <f t="shared" si="185"/>
        <v>0</v>
      </c>
      <c r="MA57" s="90"/>
      <c r="MB57" s="90">
        <f t="shared" si="186"/>
        <v>0</v>
      </c>
      <c r="MC57" s="90">
        <f t="shared" si="187"/>
        <v>0</v>
      </c>
      <c r="MD57" s="90"/>
      <c r="ME57" s="90"/>
      <c r="MF57" s="90">
        <f t="shared" si="188"/>
        <v>0</v>
      </c>
      <c r="MG57" s="90"/>
      <c r="MH57" s="90">
        <f t="shared" si="189"/>
        <v>0</v>
      </c>
      <c r="MI57" s="90">
        <f t="shared" si="190"/>
        <v>0</v>
      </c>
      <c r="MJ57" s="90"/>
      <c r="MK57" s="90"/>
      <c r="ML57" s="90">
        <f t="shared" si="191"/>
        <v>0</v>
      </c>
      <c r="MM57" s="90"/>
      <c r="MN57" s="90">
        <f t="shared" si="192"/>
        <v>0</v>
      </c>
      <c r="MO57" s="90">
        <f t="shared" si="193"/>
        <v>0</v>
      </c>
      <c r="MP57" s="90">
        <f t="shared" si="194"/>
        <v>0</v>
      </c>
      <c r="MQ57" s="90">
        <f t="shared" si="195"/>
        <v>0</v>
      </c>
      <c r="MR57" s="90">
        <f t="shared" si="196"/>
        <v>0</v>
      </c>
      <c r="MS57" s="90">
        <f t="shared" si="197"/>
        <v>0</v>
      </c>
      <c r="MT57" s="95"/>
      <c r="MU57" s="95">
        <f t="shared" si="198"/>
        <v>0</v>
      </c>
      <c r="MV57" s="92">
        <f t="shared" si="199"/>
        <v>0</v>
      </c>
      <c r="MW57" s="95"/>
      <c r="MX57" s="95">
        <f t="shared" si="200"/>
        <v>0</v>
      </c>
      <c r="MY57" s="95"/>
      <c r="MZ57" s="95">
        <f t="shared" si="201"/>
        <v>0</v>
      </c>
      <c r="NA57" s="95"/>
      <c r="NB57" s="95">
        <f t="shared" si="202"/>
        <v>0</v>
      </c>
      <c r="NC57" s="92">
        <f t="shared" si="203"/>
        <v>0</v>
      </c>
      <c r="ND57" s="95"/>
      <c r="NE57" s="95">
        <f t="shared" si="204"/>
        <v>0</v>
      </c>
      <c r="NF57" s="95"/>
      <c r="NG57" s="95">
        <f t="shared" si="205"/>
        <v>0</v>
      </c>
      <c r="NH57" s="95"/>
      <c r="NI57" s="95"/>
      <c r="NJ57" s="95">
        <f t="shared" si="206"/>
        <v>0</v>
      </c>
      <c r="NK57" s="92">
        <f t="shared" si="207"/>
        <v>0</v>
      </c>
      <c r="NL57" s="95"/>
      <c r="NM57" s="95">
        <f t="shared" si="208"/>
        <v>0</v>
      </c>
      <c r="NN57" s="95"/>
      <c r="NO57" s="95">
        <f t="shared" si="209"/>
        <v>0</v>
      </c>
      <c r="NP57" s="95"/>
      <c r="NQ57" s="95">
        <f t="shared" si="210"/>
        <v>0</v>
      </c>
      <c r="NR57" s="92">
        <f t="shared" si="211"/>
        <v>0</v>
      </c>
      <c r="NS57" s="95"/>
      <c r="NT57" s="95">
        <f t="shared" si="212"/>
        <v>0</v>
      </c>
      <c r="NU57" s="95"/>
      <c r="NV57" s="95">
        <f t="shared" si="213"/>
        <v>0</v>
      </c>
      <c r="NW57" s="95">
        <f>0.55+0.25</f>
        <v>0.8</v>
      </c>
      <c r="NX57" s="95">
        <f t="shared" si="214"/>
        <v>1134.8</v>
      </c>
      <c r="NY57" s="92">
        <f t="shared" si="215"/>
        <v>13617.599999999999</v>
      </c>
      <c r="NZ57" s="112">
        <f>0.55+0.25</f>
        <v>0.8</v>
      </c>
      <c r="OA57" s="95">
        <f t="shared" si="216"/>
        <v>1134.8</v>
      </c>
      <c r="OB57" s="112">
        <f t="shared" si="618"/>
        <v>0.78</v>
      </c>
      <c r="OC57" s="95">
        <f t="shared" si="217"/>
        <v>1106.43</v>
      </c>
      <c r="OD57" s="90">
        <v>27490.53</v>
      </c>
      <c r="OE57" s="90">
        <f t="shared" si="218"/>
        <v>19.38</v>
      </c>
      <c r="OF57" s="92">
        <f t="shared" si="219"/>
        <v>329886.36</v>
      </c>
      <c r="OG57" s="96">
        <v>1762.88</v>
      </c>
      <c r="OH57" s="96">
        <v>1.24</v>
      </c>
      <c r="OI57" s="90">
        <v>29249.47</v>
      </c>
      <c r="OJ57" s="90">
        <f t="shared" si="220"/>
        <v>20.62</v>
      </c>
      <c r="OK57" s="90">
        <f t="shared" si="221"/>
        <v>29253.41</v>
      </c>
      <c r="OL57" s="90">
        <f t="shared" si="222"/>
        <v>20.62</v>
      </c>
      <c r="OM57" s="90">
        <f t="shared" si="223"/>
        <v>0</v>
      </c>
      <c r="ON57" s="90">
        <v>27490.53</v>
      </c>
      <c r="OO57" s="90">
        <f t="shared" si="224"/>
        <v>19.38</v>
      </c>
      <c r="OP57" s="90">
        <v>27486.59</v>
      </c>
      <c r="OQ57" s="90">
        <v>19.38</v>
      </c>
      <c r="OR57" s="90">
        <f t="shared" si="225"/>
        <v>0</v>
      </c>
      <c r="OS57" s="90">
        <f t="shared" si="226"/>
        <v>19.380000000000003</v>
      </c>
      <c r="OT57" s="90">
        <v>27490.53</v>
      </c>
      <c r="OU57" s="90">
        <f t="shared" si="227"/>
        <v>19.38</v>
      </c>
      <c r="OV57" s="97">
        <v>26072.03</v>
      </c>
      <c r="OW57" s="90">
        <f t="shared" si="619"/>
        <v>26072.03</v>
      </c>
      <c r="OX57" s="90">
        <f t="shared" si="229"/>
        <v>18.38</v>
      </c>
      <c r="OY57" s="90">
        <f>OU57-1+1.65-1.65</f>
        <v>18.38</v>
      </c>
      <c r="OZ57" s="90"/>
      <c r="PA57" s="90"/>
      <c r="PB57" s="95">
        <f t="shared" si="230"/>
        <v>0</v>
      </c>
      <c r="PC57" s="92">
        <f t="shared" si="231"/>
        <v>0</v>
      </c>
      <c r="PD57" s="90"/>
      <c r="PE57" s="95">
        <f t="shared" si="232"/>
        <v>0</v>
      </c>
      <c r="PF57" s="90">
        <f t="shared" si="233"/>
        <v>43563.924999999996</v>
      </c>
      <c r="PG57" s="90">
        <f t="shared" si="234"/>
        <v>30.71</v>
      </c>
      <c r="PH57" s="90">
        <f t="shared" si="235"/>
        <v>46826.009999999995</v>
      </c>
      <c r="PI57" s="90">
        <f t="shared" si="236"/>
        <v>33.01</v>
      </c>
      <c r="PJ57" s="90">
        <f t="shared" si="237"/>
        <v>46826.009999999995</v>
      </c>
      <c r="PK57" s="90">
        <f t="shared" si="238"/>
        <v>33.01</v>
      </c>
      <c r="PL57" s="90"/>
      <c r="PM57" s="90">
        <f t="shared" si="239"/>
        <v>1306.92</v>
      </c>
      <c r="PN57" s="90">
        <f t="shared" si="240"/>
        <v>0.92</v>
      </c>
      <c r="PO57" s="92">
        <f t="shared" si="241"/>
        <v>15683.04</v>
      </c>
      <c r="PP57" s="90">
        <f t="shared" si="242"/>
        <v>1404.78</v>
      </c>
      <c r="PQ57" s="90">
        <f t="shared" si="243"/>
        <v>0.99</v>
      </c>
      <c r="PR57" s="90">
        <f t="shared" si="244"/>
        <v>1404.78</v>
      </c>
      <c r="PS57" s="90">
        <f t="shared" si="245"/>
        <v>0.99</v>
      </c>
      <c r="PT57" s="90">
        <f t="shared" si="246"/>
        <v>44870.844999999994</v>
      </c>
      <c r="PU57" s="90">
        <f t="shared" si="247"/>
        <v>31.63</v>
      </c>
      <c r="PV57" s="90">
        <f t="shared" si="248"/>
        <v>48230.789999999994</v>
      </c>
      <c r="PW57" s="90">
        <f t="shared" si="249"/>
        <v>34</v>
      </c>
      <c r="PX57" s="90">
        <f t="shared" si="250"/>
        <v>48230.789999999994</v>
      </c>
      <c r="PY57" s="90">
        <f t="shared" si="251"/>
        <v>34</v>
      </c>
      <c r="PZ57" s="90">
        <f t="shared" si="252"/>
        <v>453.24</v>
      </c>
      <c r="QA57" s="90">
        <f t="shared" si="253"/>
        <v>0.32</v>
      </c>
      <c r="QB57" s="92">
        <f t="shared" si="254"/>
        <v>5438.88</v>
      </c>
      <c r="QC57" s="90">
        <f t="shared" si="255"/>
        <v>487.18</v>
      </c>
      <c r="QD57" s="90">
        <f t="shared" si="256"/>
        <v>0.34</v>
      </c>
      <c r="QE57" s="90">
        <f t="shared" si="257"/>
        <v>487.18</v>
      </c>
      <c r="QF57" s="90">
        <f t="shared" si="258"/>
        <v>0.34</v>
      </c>
      <c r="QG57" s="90">
        <f t="shared" si="259"/>
        <v>45324.084999999992</v>
      </c>
      <c r="QH57" s="90">
        <f t="shared" si="260"/>
        <v>31.95</v>
      </c>
      <c r="QI57" s="92">
        <f t="shared" si="261"/>
        <v>543889.0199999999</v>
      </c>
      <c r="QJ57" s="90">
        <f t="shared" si="262"/>
        <v>455.29449277863188</v>
      </c>
      <c r="QK57" s="98">
        <f t="shared" si="263"/>
        <v>0.30915000000000004</v>
      </c>
      <c r="QL57" s="90">
        <f t="shared" si="264"/>
        <v>438.52927500000004</v>
      </c>
      <c r="QM57" s="90">
        <f t="shared" si="265"/>
        <v>0.15110000000000001</v>
      </c>
      <c r="QN57" s="90">
        <f t="shared" si="266"/>
        <v>214.33535000000001</v>
      </c>
      <c r="QO57" s="90">
        <v>0.27615000000000001</v>
      </c>
      <c r="QP57" s="90">
        <v>0.18410000000000001</v>
      </c>
      <c r="QQ57" s="97">
        <f t="shared" si="267"/>
        <v>652.86462500000005</v>
      </c>
      <c r="QR57" s="97">
        <v>653.73910000000001</v>
      </c>
      <c r="QS57" s="97">
        <f t="shared" si="268"/>
        <v>-0.87447499999996126</v>
      </c>
      <c r="QT57" s="90"/>
      <c r="QU57" s="90">
        <f t="shared" si="269"/>
        <v>0.15110000000000001</v>
      </c>
      <c r="QV57" s="90">
        <f t="shared" si="270"/>
        <v>214.33535000000001</v>
      </c>
      <c r="QW57" s="90">
        <f t="shared" si="271"/>
        <v>652.86462500000005</v>
      </c>
      <c r="QX57" s="90">
        <f t="shared" si="272"/>
        <v>0.46025000000000005</v>
      </c>
      <c r="QY57" s="90"/>
      <c r="QZ57" s="90"/>
      <c r="RA57" s="90"/>
      <c r="RB57" s="90">
        <v>6221.86</v>
      </c>
      <c r="RC57" s="97">
        <f t="shared" si="273"/>
        <v>45324.084999999992</v>
      </c>
      <c r="RD57" s="97">
        <f t="shared" si="274"/>
        <v>31.95</v>
      </c>
      <c r="RE57" s="90">
        <f t="shared" si="275"/>
        <v>48717.969999999994</v>
      </c>
      <c r="RF57" s="90">
        <f t="shared" si="276"/>
        <v>34.340000000000003</v>
      </c>
      <c r="RG57" s="90">
        <f t="shared" si="277"/>
        <v>107.48043818466356</v>
      </c>
      <c r="RH57" s="90">
        <f t="shared" si="278"/>
        <v>48717.969999999994</v>
      </c>
      <c r="RI57" s="90">
        <f t="shared" si="279"/>
        <v>34.340000000000003</v>
      </c>
      <c r="RJ57" s="90">
        <v>34.07</v>
      </c>
      <c r="RK57" s="90">
        <v>0</v>
      </c>
      <c r="RL57" s="90">
        <f t="shared" si="280"/>
        <v>0.27000000000000313</v>
      </c>
      <c r="RM57" s="90">
        <f t="shared" si="281"/>
        <v>102.99940011997603</v>
      </c>
      <c r="RN57" s="90">
        <f t="shared" si="282"/>
        <v>17077.009999999998</v>
      </c>
      <c r="RO57" s="90"/>
      <c r="RP57" s="90"/>
      <c r="RQ57" s="99">
        <v>3357</v>
      </c>
      <c r="RR57" s="90">
        <f t="shared" si="283"/>
        <v>17833.555</v>
      </c>
      <c r="RS57" s="90">
        <f t="shared" si="284"/>
        <v>12.572121959816709</v>
      </c>
      <c r="RT57" s="20">
        <v>14.56</v>
      </c>
      <c r="RU57" s="90">
        <f t="shared" si="285"/>
        <v>20653.36</v>
      </c>
      <c r="RV57" s="90">
        <f t="shared" si="286"/>
        <v>0.3209689762274458</v>
      </c>
      <c r="RW57" s="20">
        <v>13.49</v>
      </c>
      <c r="RX57" s="90">
        <f t="shared" si="287"/>
        <v>14.1645</v>
      </c>
      <c r="RY57" s="90">
        <f t="shared" si="288"/>
        <v>20092.343250000002</v>
      </c>
      <c r="RZ57" s="90">
        <f t="shared" si="289"/>
        <v>6213.6399335664655</v>
      </c>
      <c r="SA57" s="90">
        <f t="shared" si="290"/>
        <v>1850.9331234564852</v>
      </c>
      <c r="SB57" s="90">
        <f t="shared" si="291"/>
        <v>1850.9339640312137</v>
      </c>
      <c r="SC57" s="90">
        <f t="shared" si="292"/>
        <v>6213.6399335664655</v>
      </c>
      <c r="SD57" s="90">
        <f t="shared" si="293"/>
        <v>6213.640774141194</v>
      </c>
      <c r="SE57" s="90">
        <f t="shared" si="294"/>
        <v>6213.6387702293005</v>
      </c>
      <c r="SF57" s="90">
        <f t="shared" si="295"/>
        <v>6192.8027182494006</v>
      </c>
      <c r="SG57" s="90">
        <f t="shared" si="296"/>
        <v>20.837215317064874</v>
      </c>
      <c r="SH57" s="90">
        <f t="shared" si="297"/>
        <v>6213.6399323040005</v>
      </c>
      <c r="SI57" s="90">
        <f t="shared" si="298"/>
        <v>4.3804305774699994</v>
      </c>
      <c r="SJ57" s="100">
        <f t="shared" si="299"/>
        <v>4.3657403724000003</v>
      </c>
      <c r="SK57" s="100"/>
      <c r="SL57" s="100"/>
      <c r="SM57" s="90"/>
      <c r="SN57" s="90">
        <f t="shared" si="300"/>
        <v>6291.93</v>
      </c>
      <c r="SO57" s="90" t="e">
        <f>RU57-#REF!-#REF!-HZ57-LT57-LZ57-MF57-ML57-QL57-QN57-SD57</f>
        <v>#REF!</v>
      </c>
      <c r="SP57" s="90">
        <f t="shared" si="301"/>
        <v>6213.5199999999995</v>
      </c>
      <c r="SQ57" s="90">
        <f t="shared" si="302"/>
        <v>6553.4699999999993</v>
      </c>
      <c r="SR57" s="90">
        <f t="shared" si="303"/>
        <v>4.3803454353189988</v>
      </c>
      <c r="SS57" s="90">
        <f t="shared" si="304"/>
        <v>4.6199999999999992</v>
      </c>
      <c r="ST57" s="90">
        <f t="shared" si="305"/>
        <v>6561.7250000000004</v>
      </c>
      <c r="SU57" s="90">
        <v>4.3803576457335955</v>
      </c>
      <c r="SV57" s="90">
        <f t="shared" si="306"/>
        <v>4.63</v>
      </c>
      <c r="SW57" s="90">
        <v>4.62</v>
      </c>
      <c r="SX57" s="90">
        <f t="shared" si="307"/>
        <v>6553.47</v>
      </c>
      <c r="SY57" s="90">
        <v>4.3804300317236518</v>
      </c>
      <c r="SZ57" s="90">
        <f t="shared" si="308"/>
        <v>6213.64</v>
      </c>
      <c r="TA57" s="90">
        <f t="shared" si="309"/>
        <v>0.12000000000080036</v>
      </c>
      <c r="TB57" s="90">
        <v>0</v>
      </c>
      <c r="TC57" s="90">
        <f t="shared" si="310"/>
        <v>6153.3403750000025</v>
      </c>
      <c r="TD57" s="90" t="e">
        <f>#REF!+#REF!</f>
        <v>#REF!</v>
      </c>
      <c r="TE57" s="90" t="e">
        <f t="shared" si="311"/>
        <v>#REF!</v>
      </c>
      <c r="TF57" s="90">
        <v>5963.1929000000046</v>
      </c>
      <c r="TG57" s="90">
        <f t="shared" si="312"/>
        <v>29.793410733168852</v>
      </c>
      <c r="TH57" s="95"/>
      <c r="TI57" s="95"/>
      <c r="TJ57" s="95"/>
      <c r="TK57" s="95"/>
      <c r="TL57" s="95">
        <v>0.55000000000000004</v>
      </c>
      <c r="TM57" s="95">
        <f t="shared" si="313"/>
        <v>780.17500000000007</v>
      </c>
      <c r="TN57" s="95">
        <f t="shared" si="314"/>
        <v>21433.535</v>
      </c>
      <c r="TO57" s="95">
        <f t="shared" si="315"/>
        <v>28.708938469552514</v>
      </c>
      <c r="TP57" s="95"/>
      <c r="TQ57" s="95">
        <f t="shared" si="316"/>
        <v>15.110000000000001</v>
      </c>
      <c r="TR57" s="95"/>
      <c r="TS57" s="95"/>
      <c r="TT57" s="95"/>
      <c r="TU57" s="95"/>
      <c r="TV57" s="95"/>
      <c r="TW57" s="95"/>
      <c r="TX57" s="95"/>
      <c r="TY57" s="95"/>
      <c r="TZ57" s="95">
        <f t="shared" si="317"/>
        <v>3.0459960291197885</v>
      </c>
      <c r="UA57" s="95">
        <f t="shared" si="318"/>
        <v>0.6648400000000001</v>
      </c>
      <c r="UB57" s="90">
        <v>0</v>
      </c>
      <c r="UC57" s="90">
        <f t="shared" si="319"/>
        <v>0</v>
      </c>
      <c r="UD57" s="90">
        <f t="shared" si="320"/>
        <v>0</v>
      </c>
      <c r="UE57" s="90">
        <f t="shared" si="321"/>
        <v>0</v>
      </c>
      <c r="UF57" s="90">
        <f t="shared" si="322"/>
        <v>20653.36</v>
      </c>
      <c r="UG57" s="91">
        <f t="shared" si="323"/>
        <v>0</v>
      </c>
      <c r="UH57" s="95">
        <f t="shared" si="324"/>
        <v>29.793410733168852</v>
      </c>
      <c r="UI57" s="95">
        <f t="shared" si="325"/>
        <v>21433.535</v>
      </c>
      <c r="UJ57" s="101">
        <f t="shared" si="326"/>
        <v>0</v>
      </c>
      <c r="UK57" s="101">
        <f t="shared" si="327"/>
        <v>28.708938469552514</v>
      </c>
      <c r="UL57" s="90" t="e">
        <f>(#REF!+#REF!+HZ57+LT57+LZ57+MF57+ML57+QL57+QN57+SN57+TC57+TM57+UC57)/I57</f>
        <v>#REF!</v>
      </c>
      <c r="UN57" s="90" t="e">
        <f>#REF!/I57</f>
        <v>#REF!</v>
      </c>
      <c r="UO57" s="90" t="e">
        <f>#REF!/I57</f>
        <v>#REF!</v>
      </c>
      <c r="UP57" s="90">
        <v>1.1499999999999999</v>
      </c>
      <c r="UQ57" s="90" t="e">
        <f t="shared" si="328"/>
        <v>#REF!</v>
      </c>
      <c r="UR57" s="90">
        <f t="shared" si="329"/>
        <v>17833.555</v>
      </c>
      <c r="US57" s="90">
        <f t="shared" si="330"/>
        <v>21563.079999999998</v>
      </c>
      <c r="UT57" s="90">
        <f t="shared" si="331"/>
        <v>21563.079999999998</v>
      </c>
      <c r="UU57" s="90">
        <f t="shared" si="516"/>
        <v>22215.589999999997</v>
      </c>
      <c r="UV57" s="90">
        <f t="shared" si="333"/>
        <v>21993.43</v>
      </c>
      <c r="UW57" s="90">
        <f t="shared" si="334"/>
        <v>7.24</v>
      </c>
      <c r="UX57" s="90">
        <f t="shared" si="335"/>
        <v>4.62</v>
      </c>
      <c r="UY57" s="90">
        <f t="shared" si="336"/>
        <v>4.4356221360592176</v>
      </c>
      <c r="UZ57" s="100">
        <f t="shared" si="337"/>
        <v>4.3804305774699994</v>
      </c>
      <c r="VA57" s="90">
        <f t="shared" si="338"/>
        <v>0.57999999999999996</v>
      </c>
      <c r="VB57" s="90">
        <f t="shared" si="339"/>
        <v>1.24</v>
      </c>
      <c r="VC57" s="90">
        <f t="shared" si="340"/>
        <v>0.8</v>
      </c>
      <c r="VD57" s="90">
        <f t="shared" si="341"/>
        <v>0</v>
      </c>
      <c r="VE57" s="90">
        <f t="shared" si="342"/>
        <v>0</v>
      </c>
      <c r="VF57" s="90">
        <f t="shared" si="343"/>
        <v>0</v>
      </c>
      <c r="VG57" s="90">
        <f t="shared" si="344"/>
        <v>0</v>
      </c>
      <c r="VH57" s="90">
        <f t="shared" si="345"/>
        <v>0</v>
      </c>
      <c r="VI57" s="90">
        <f t="shared" si="346"/>
        <v>0</v>
      </c>
      <c r="VJ57" s="90">
        <f t="shared" si="347"/>
        <v>0</v>
      </c>
      <c r="VK57" s="90">
        <f t="shared" si="348"/>
        <v>1.28</v>
      </c>
      <c r="VL57" s="90">
        <f t="shared" si="349"/>
        <v>4.09</v>
      </c>
      <c r="VM57" s="90">
        <f t="shared" si="350"/>
        <v>19.38</v>
      </c>
      <c r="VN57" s="90">
        <f t="shared" si="351"/>
        <v>0</v>
      </c>
      <c r="VO57" s="90">
        <f t="shared" si="352"/>
        <v>19.38</v>
      </c>
      <c r="VP57" s="97">
        <v>0</v>
      </c>
      <c r="VQ57" s="97">
        <v>4.2</v>
      </c>
      <c r="VR57" s="90">
        <f t="shared" si="353"/>
        <v>0.92</v>
      </c>
      <c r="VS57" s="90">
        <f t="shared" si="354"/>
        <v>0.32</v>
      </c>
      <c r="VT57" s="90">
        <v>0.11989898989898991</v>
      </c>
      <c r="VU57" s="90">
        <f t="shared" si="355"/>
        <v>0.31950000000000001</v>
      </c>
      <c r="VV57" s="90">
        <v>0.38175323599898991</v>
      </c>
      <c r="VW57" s="90">
        <f t="shared" si="356"/>
        <v>1.24</v>
      </c>
      <c r="VX57" s="90">
        <f t="shared" si="357"/>
        <v>31.95</v>
      </c>
      <c r="VY57" s="90">
        <f t="shared" si="358"/>
        <v>31.95</v>
      </c>
      <c r="VZ57" s="90">
        <f t="shared" si="359"/>
        <v>0</v>
      </c>
      <c r="WA57" s="90"/>
      <c r="WB57" s="90">
        <f t="shared" si="360"/>
        <v>31.95</v>
      </c>
      <c r="WC57" s="90">
        <f t="shared" si="361"/>
        <v>0</v>
      </c>
      <c r="WD57" s="90"/>
      <c r="WE57" s="90">
        <v>15.9</v>
      </c>
      <c r="WF57" s="90"/>
      <c r="WG57" s="90">
        <f t="shared" si="362"/>
        <v>45321.074999999997</v>
      </c>
      <c r="WH57" s="90">
        <f t="shared" si="363"/>
        <v>44186.275000000001</v>
      </c>
      <c r="WI57" s="90">
        <f t="shared" si="364"/>
        <v>44189.284999999989</v>
      </c>
      <c r="WJ57" s="90">
        <f t="shared" si="365"/>
        <v>17833.555</v>
      </c>
      <c r="WK57" s="97">
        <v>5965.68</v>
      </c>
      <c r="WL57" s="97">
        <v>4.2</v>
      </c>
      <c r="WM57" s="90">
        <f t="shared" si="366"/>
        <v>5957.7</v>
      </c>
      <c r="WN57" s="90">
        <f t="shared" si="367"/>
        <v>4.2</v>
      </c>
      <c r="WO57" s="90"/>
      <c r="WP57" s="97">
        <v>15.9</v>
      </c>
      <c r="WQ57" s="90">
        <f t="shared" si="368"/>
        <v>31.95</v>
      </c>
      <c r="WR57" s="91">
        <f t="shared" si="369"/>
        <v>211.4493712772998</v>
      </c>
      <c r="WS57" s="91">
        <f t="shared" si="370"/>
        <v>211.4493712772998</v>
      </c>
      <c r="WT57" s="90">
        <f t="shared" si="371"/>
        <v>22554.15</v>
      </c>
      <c r="WU57" s="90">
        <f t="shared" si="372"/>
        <v>45324.084999999992</v>
      </c>
      <c r="WV57" s="90">
        <f t="shared" si="373"/>
        <v>-22769.93499999999</v>
      </c>
      <c r="WW57" s="90"/>
      <c r="WX57" s="90"/>
      <c r="WY57" s="90"/>
      <c r="WZ57" s="90">
        <f t="shared" si="374"/>
        <v>3.9707898989898984</v>
      </c>
      <c r="XA57" s="90">
        <v>0</v>
      </c>
      <c r="XB57" s="90">
        <f t="shared" si="375"/>
        <v>3.9707898989898984</v>
      </c>
      <c r="XC57" s="90">
        <f t="shared" si="376"/>
        <v>0.47819999999999996</v>
      </c>
      <c r="XD57" s="90">
        <f t="shared" si="377"/>
        <v>0.16101010101010099</v>
      </c>
      <c r="XE57" s="90"/>
      <c r="XF57" s="90">
        <f t="shared" si="378"/>
        <v>15.94</v>
      </c>
      <c r="XG57" s="90">
        <v>4.1982490143621547</v>
      </c>
      <c r="XH57" s="20">
        <v>14.56</v>
      </c>
      <c r="XI57" s="20">
        <v>0</v>
      </c>
      <c r="XJ57" s="20"/>
      <c r="XK57" s="20"/>
      <c r="XL57" s="20">
        <v>0.55000000000000004</v>
      </c>
      <c r="XM57" s="20">
        <f t="shared" si="620"/>
        <v>15.110000000000001</v>
      </c>
      <c r="XN57" s="91">
        <f t="shared" si="380"/>
        <v>211.4493712772998</v>
      </c>
      <c r="XO57" s="20">
        <f t="shared" si="381"/>
        <v>15.110000000000001</v>
      </c>
      <c r="XP57" s="90">
        <f t="shared" si="621"/>
        <v>15.110000000000001</v>
      </c>
      <c r="XQ57" s="91">
        <f t="shared" si="383"/>
        <v>211.4493712772998</v>
      </c>
      <c r="XR57" s="102"/>
      <c r="XS57" s="90">
        <f t="shared" si="384"/>
        <v>4.09</v>
      </c>
      <c r="XT57" s="90">
        <f t="shared" si="385"/>
        <v>7.24</v>
      </c>
      <c r="XU57" s="90">
        <f t="shared" si="386"/>
        <v>4.62</v>
      </c>
      <c r="XV57" s="90">
        <f t="shared" si="387"/>
        <v>1.38</v>
      </c>
      <c r="XW57" s="90">
        <f t="shared" si="388"/>
        <v>0.57999999999999996</v>
      </c>
      <c r="XX57" s="90">
        <f t="shared" si="389"/>
        <v>0.8</v>
      </c>
      <c r="XY57" s="90">
        <f t="shared" si="390"/>
        <v>1.24</v>
      </c>
      <c r="XZ57" s="90">
        <f t="shared" si="391"/>
        <v>0</v>
      </c>
      <c r="YA57" s="90">
        <f t="shared" si="392"/>
        <v>0</v>
      </c>
      <c r="YB57" s="90">
        <f t="shared" si="552"/>
        <v>0</v>
      </c>
      <c r="YC57" s="90">
        <f t="shared" si="552"/>
        <v>0</v>
      </c>
      <c r="YD57" s="90">
        <f t="shared" si="394"/>
        <v>1.24</v>
      </c>
      <c r="YE57" s="90">
        <f t="shared" si="395"/>
        <v>19.38</v>
      </c>
      <c r="YF57" s="90">
        <f t="shared" si="396"/>
        <v>1.24</v>
      </c>
      <c r="YG57" s="90">
        <f t="shared" si="397"/>
        <v>31.95</v>
      </c>
      <c r="YI57" s="103" t="s">
        <v>472</v>
      </c>
      <c r="YK57" s="90">
        <f t="shared" si="398"/>
        <v>1.07</v>
      </c>
      <c r="YL57" s="90">
        <f t="shared" si="553"/>
        <v>0.57999999999999996</v>
      </c>
      <c r="YM57" s="90">
        <f t="shared" si="553"/>
        <v>1.24</v>
      </c>
      <c r="YN57" s="90">
        <f t="shared" si="400"/>
        <v>4.09</v>
      </c>
      <c r="YO57" s="90">
        <f t="shared" si="401"/>
        <v>24.969999999999995</v>
      </c>
      <c r="YP57" s="90">
        <f t="shared" si="402"/>
        <v>0</v>
      </c>
      <c r="YQ57" s="90">
        <f t="shared" si="403"/>
        <v>31.95</v>
      </c>
      <c r="YR57" s="90">
        <f t="shared" si="404"/>
        <v>0</v>
      </c>
      <c r="YS57" s="104">
        <f t="shared" si="405"/>
        <v>31.949999999999996</v>
      </c>
      <c r="YT57" s="104">
        <f t="shared" si="406"/>
        <v>0</v>
      </c>
      <c r="YY57" s="90">
        <f t="shared" si="407"/>
        <v>9.2600000000000016</v>
      </c>
      <c r="YZ57" s="90">
        <f t="shared" si="408"/>
        <v>4.9800000000000004</v>
      </c>
      <c r="ZA57" s="90">
        <f t="shared" si="409"/>
        <v>0.61</v>
      </c>
      <c r="ZB57" s="90">
        <f t="shared" si="410"/>
        <v>2.87</v>
      </c>
      <c r="ZC57" s="90">
        <f t="shared" si="411"/>
        <v>0.8</v>
      </c>
      <c r="ZD57" s="90">
        <f t="shared" si="412"/>
        <v>0</v>
      </c>
      <c r="ZE57" s="90">
        <f t="shared" si="413"/>
        <v>0</v>
      </c>
      <c r="ZF57" s="90">
        <f t="shared" si="414"/>
        <v>0</v>
      </c>
      <c r="ZG57" s="90">
        <f t="shared" si="415"/>
        <v>0</v>
      </c>
      <c r="ZH57" s="90">
        <f t="shared" si="416"/>
        <v>0</v>
      </c>
      <c r="ZI57" s="90">
        <f t="shared" si="417"/>
        <v>0</v>
      </c>
      <c r="ZJ57" s="90">
        <f t="shared" si="418"/>
        <v>0</v>
      </c>
      <c r="ZK57" s="90">
        <f t="shared" si="419"/>
        <v>0</v>
      </c>
      <c r="ZL57" s="90">
        <f t="shared" si="420"/>
        <v>0</v>
      </c>
      <c r="ZM57" s="90">
        <f t="shared" si="421"/>
        <v>4.6100000000000003</v>
      </c>
      <c r="ZN57" s="90">
        <f t="shared" si="422"/>
        <v>21.25</v>
      </c>
      <c r="ZO57" s="90">
        <f t="shared" si="423"/>
        <v>20.62</v>
      </c>
      <c r="ZP57" s="90">
        <f t="shared" si="424"/>
        <v>18.38</v>
      </c>
      <c r="ZQ57" s="90">
        <f t="shared" si="425"/>
        <v>0</v>
      </c>
      <c r="ZR57" s="90">
        <f t="shared" si="426"/>
        <v>18.38</v>
      </c>
      <c r="ZS57" s="97">
        <v>227</v>
      </c>
      <c r="ZT57" s="97">
        <v>230.38</v>
      </c>
      <c r="ZU57" s="90">
        <f t="shared" si="427"/>
        <v>0.99</v>
      </c>
      <c r="ZV57" s="90">
        <f t="shared" si="428"/>
        <v>0.34</v>
      </c>
      <c r="ZW57" s="90">
        <v>0.11989898989898991</v>
      </c>
      <c r="ZX57" s="90">
        <f t="shared" si="429"/>
        <v>0.33579999999999999</v>
      </c>
      <c r="ZY57" s="90">
        <v>0.38175323599898991</v>
      </c>
      <c r="ZZ57" s="90">
        <f t="shared" si="430"/>
        <v>1.33</v>
      </c>
      <c r="AAA57" s="90">
        <f t="shared" si="431"/>
        <v>33.58</v>
      </c>
      <c r="AAB57" s="90">
        <f t="shared" si="432"/>
        <v>33.58</v>
      </c>
      <c r="AAC57" s="90">
        <f t="shared" si="433"/>
        <v>0</v>
      </c>
      <c r="AAD57" s="90"/>
      <c r="AAE57" s="90">
        <f t="shared" si="434"/>
        <v>33.58</v>
      </c>
      <c r="AAF57" s="90">
        <v>31.95</v>
      </c>
      <c r="AAG57" s="90">
        <f t="shared" si="435"/>
        <v>105.10172143974961</v>
      </c>
      <c r="AAH57" s="90">
        <f t="shared" si="436"/>
        <v>0</v>
      </c>
      <c r="AAI57" s="90">
        <v>0</v>
      </c>
      <c r="AAJ57" s="90"/>
      <c r="AAK57" s="1">
        <v>33.340000000000003</v>
      </c>
      <c r="AAL57" s="104">
        <f t="shared" si="437"/>
        <v>0.23999999999999488</v>
      </c>
      <c r="AAM57" s="103" t="s">
        <v>509</v>
      </c>
      <c r="AAN57" s="105">
        <v>9.2800000000000011</v>
      </c>
      <c r="AAO57" s="90">
        <f t="shared" si="438"/>
        <v>10.020000000000003</v>
      </c>
      <c r="AAP57" s="90">
        <v>4.97</v>
      </c>
      <c r="AAQ57" s="90">
        <f t="shared" si="439"/>
        <v>4.9800000000000004</v>
      </c>
      <c r="AAR57" s="90">
        <v>0.61</v>
      </c>
      <c r="AAS57" s="90">
        <f t="shared" si="440"/>
        <v>0.91</v>
      </c>
      <c r="AAT57" s="90">
        <f t="shared" si="441"/>
        <v>149.18032786885246</v>
      </c>
      <c r="AAU57" s="90">
        <v>2.9</v>
      </c>
      <c r="AAV57" s="90">
        <f t="shared" si="442"/>
        <v>2.87</v>
      </c>
      <c r="AAW57" s="90">
        <f t="shared" si="443"/>
        <v>98.965517241379317</v>
      </c>
      <c r="AAX57" s="90">
        <f t="shared" si="444"/>
        <v>0.46</v>
      </c>
      <c r="AAY57" s="90">
        <f t="shared" si="445"/>
        <v>0.8</v>
      </c>
      <c r="AAZ57" s="90">
        <f t="shared" si="446"/>
        <v>0</v>
      </c>
      <c r="ABA57" s="90">
        <f t="shared" si="447"/>
        <v>0</v>
      </c>
      <c r="ABB57" s="90">
        <f t="shared" si="448"/>
        <v>0</v>
      </c>
      <c r="ABC57" s="90">
        <v>0</v>
      </c>
      <c r="ABD57" s="90">
        <f t="shared" si="449"/>
        <v>0</v>
      </c>
      <c r="ABE57" s="90"/>
      <c r="ABF57" s="90">
        <v>0</v>
      </c>
      <c r="ABG57" s="90">
        <f t="shared" si="450"/>
        <v>0</v>
      </c>
      <c r="ABH57" s="90"/>
      <c r="ABI57" s="90">
        <f t="shared" si="451"/>
        <v>0</v>
      </c>
      <c r="ABJ57" s="90">
        <f t="shared" si="452"/>
        <v>0</v>
      </c>
      <c r="ABK57" s="90">
        <v>0</v>
      </c>
      <c r="ABL57" s="90">
        <f t="shared" si="453"/>
        <v>0</v>
      </c>
      <c r="ABM57" s="90">
        <f t="shared" si="454"/>
        <v>0</v>
      </c>
      <c r="ABN57" s="90">
        <f t="shared" si="455"/>
        <v>0</v>
      </c>
      <c r="ABO57" s="90">
        <v>4.3899999999999997</v>
      </c>
      <c r="ABP57" s="90">
        <f t="shared" si="456"/>
        <v>4.6100000000000003</v>
      </c>
      <c r="ABQ57" s="90">
        <f t="shared" si="457"/>
        <v>105.01138952164011</v>
      </c>
      <c r="ABR57" s="90">
        <f t="shared" si="458"/>
        <v>21.25</v>
      </c>
      <c r="ABS57" s="90">
        <f t="shared" si="459"/>
        <v>20.62</v>
      </c>
      <c r="ABT57" s="90">
        <v>18.38</v>
      </c>
      <c r="ABU57" s="90">
        <f t="shared" si="460"/>
        <v>18.38</v>
      </c>
      <c r="ABV57" s="90">
        <f t="shared" si="461"/>
        <v>100</v>
      </c>
      <c r="ABW57" s="90">
        <f t="shared" si="462"/>
        <v>0</v>
      </c>
      <c r="ABX57" s="90">
        <f t="shared" si="463"/>
        <v>18.38</v>
      </c>
      <c r="ABY57" s="97">
        <v>227</v>
      </c>
      <c r="ABZ57" s="97">
        <v>230.38</v>
      </c>
      <c r="ACA57" s="90">
        <f t="shared" si="464"/>
        <v>0.99</v>
      </c>
      <c r="ACB57" s="90">
        <f t="shared" si="465"/>
        <v>0.34</v>
      </c>
      <c r="ACC57" s="90">
        <v>0.11989898989898991</v>
      </c>
      <c r="ACD57" s="90">
        <f t="shared" si="466"/>
        <v>0.33879999999999993</v>
      </c>
      <c r="ACE57" s="90">
        <v>0.38175323599898991</v>
      </c>
      <c r="ACF57" s="90">
        <v>1.29</v>
      </c>
      <c r="ACG57" s="90">
        <f t="shared" si="467"/>
        <v>1.33</v>
      </c>
      <c r="ACH57" s="90">
        <f t="shared" si="468"/>
        <v>103.10077519379846</v>
      </c>
      <c r="ACI57" s="90">
        <f t="shared" si="469"/>
        <v>34.340000000000003</v>
      </c>
      <c r="ACJ57" s="90">
        <f t="shared" si="470"/>
        <v>33.879999999999995</v>
      </c>
      <c r="ACK57" s="90">
        <f t="shared" si="471"/>
        <v>-0.46000000000000796</v>
      </c>
      <c r="ACL57" s="90"/>
      <c r="ACM57" s="90">
        <f t="shared" si="472"/>
        <v>34.340000000000003</v>
      </c>
      <c r="ACN57" s="90">
        <f t="shared" si="473"/>
        <v>0</v>
      </c>
      <c r="ACO57" s="90">
        <f t="shared" si="474"/>
        <v>34.340000000000003</v>
      </c>
      <c r="ACP57" s="90">
        <v>33.339999999999996</v>
      </c>
      <c r="ACQ57" s="90">
        <f t="shared" si="475"/>
        <v>102.99940011997603</v>
      </c>
      <c r="ACR57" s="90">
        <f t="shared" si="476"/>
        <v>0</v>
      </c>
      <c r="ACS57" s="90">
        <v>0</v>
      </c>
      <c r="ACT57" s="90"/>
      <c r="ACU57" s="90">
        <f t="shared" si="477"/>
        <v>35.040339999999993</v>
      </c>
      <c r="ACV57" s="90">
        <f t="shared" si="478"/>
        <v>0.70033999999998997</v>
      </c>
      <c r="ACX57" s="106" t="s">
        <v>565</v>
      </c>
      <c r="ACY57" s="107">
        <v>110500</v>
      </c>
      <c r="ACZ57" s="107">
        <v>234000</v>
      </c>
      <c r="ADB57" s="90">
        <f t="shared" si="479"/>
        <v>4.6100000000000003</v>
      </c>
      <c r="ADC57" s="90">
        <f t="shared" si="480"/>
        <v>10.02</v>
      </c>
      <c r="ADD57" s="90">
        <f t="shared" si="481"/>
        <v>4.9800000000000004</v>
      </c>
      <c r="ADE57" s="90">
        <f t="shared" si="517"/>
        <v>2.17</v>
      </c>
      <c r="ADF57" s="90">
        <f t="shared" si="483"/>
        <v>0.91</v>
      </c>
      <c r="ADG57" s="90">
        <f t="shared" si="554"/>
        <v>0.46</v>
      </c>
      <c r="ADH57" s="90">
        <f t="shared" si="554"/>
        <v>0.8</v>
      </c>
      <c r="ADI57" s="90">
        <f t="shared" si="554"/>
        <v>0</v>
      </c>
      <c r="ADJ57" s="90">
        <f t="shared" si="485"/>
        <v>2.87</v>
      </c>
      <c r="ADK57" s="90">
        <f t="shared" si="486"/>
        <v>0</v>
      </c>
      <c r="ADL57" s="90">
        <f t="shared" si="487"/>
        <v>0</v>
      </c>
      <c r="ADM57" s="90">
        <f t="shared" si="555"/>
        <v>0</v>
      </c>
      <c r="ADN57" s="90">
        <f t="shared" si="555"/>
        <v>0</v>
      </c>
      <c r="ADO57" s="90">
        <f t="shared" si="489"/>
        <v>2.87</v>
      </c>
      <c r="ADP57" s="90">
        <f t="shared" si="490"/>
        <v>18.38</v>
      </c>
      <c r="ADQ57" s="90">
        <f t="shared" si="491"/>
        <v>1.33</v>
      </c>
      <c r="ADR57" s="90">
        <f t="shared" si="492"/>
        <v>34.339999999999996</v>
      </c>
      <c r="ADU57" s="90">
        <f t="shared" si="493"/>
        <v>1.1499999999999999</v>
      </c>
      <c r="ADV57" s="90">
        <f t="shared" si="494"/>
        <v>0.91</v>
      </c>
      <c r="ADW57" s="90">
        <f t="shared" si="495"/>
        <v>2.87</v>
      </c>
      <c r="ADX57" s="90">
        <f t="shared" si="496"/>
        <v>4.6100000000000003</v>
      </c>
      <c r="ADY57" s="90">
        <f t="shared" si="497"/>
        <v>24.339999999999996</v>
      </c>
      <c r="ADZ57" s="90">
        <f t="shared" si="498"/>
        <v>0</v>
      </c>
      <c r="AEA57" s="90">
        <f t="shared" si="499"/>
        <v>34.340000000000003</v>
      </c>
      <c r="AEB57" s="90">
        <f t="shared" si="500"/>
        <v>0</v>
      </c>
      <c r="AEC57" s="104">
        <f t="shared" si="501"/>
        <v>33.879999999999995</v>
      </c>
      <c r="AED57" s="104">
        <f t="shared" si="502"/>
        <v>0.46000000000000796</v>
      </c>
      <c r="AEG57" s="1">
        <v>9.2800000000000011</v>
      </c>
      <c r="AEH57" s="1">
        <v>4.97</v>
      </c>
      <c r="AEI57" s="1">
        <v>0.61</v>
      </c>
      <c r="AEJ57" s="1">
        <v>2.9</v>
      </c>
      <c r="AEK57" s="1">
        <v>0</v>
      </c>
      <c r="AEL57" s="1">
        <v>0.8</v>
      </c>
      <c r="AEM57" s="1">
        <v>0</v>
      </c>
      <c r="AEN57" s="1">
        <v>0</v>
      </c>
      <c r="AEO57" s="1">
        <v>0</v>
      </c>
      <c r="AEP57" s="1">
        <v>0</v>
      </c>
      <c r="AEQ57" s="1">
        <v>0</v>
      </c>
      <c r="AER57" s="1">
        <v>0</v>
      </c>
      <c r="AES57" s="1">
        <v>0</v>
      </c>
      <c r="AET57" s="1">
        <v>0</v>
      </c>
      <c r="AEU57" s="1">
        <v>0</v>
      </c>
      <c r="AEV57" s="1">
        <v>0</v>
      </c>
      <c r="AEW57" s="1">
        <v>4.3899999999999997</v>
      </c>
      <c r="AEX57" s="1">
        <v>21.279999999999998</v>
      </c>
      <c r="AEY57" s="1">
        <v>20.62</v>
      </c>
      <c r="AEZ57" s="1">
        <v>18.38</v>
      </c>
      <c r="AFA57" s="1">
        <v>0</v>
      </c>
      <c r="AFB57" s="1">
        <v>18.38</v>
      </c>
      <c r="AFC57" s="1">
        <v>227</v>
      </c>
      <c r="AFD57" s="1">
        <v>230.38</v>
      </c>
      <c r="AFE57" s="1">
        <v>0.96</v>
      </c>
      <c r="AFF57" s="1">
        <v>0.33</v>
      </c>
      <c r="AFG57" s="1">
        <v>0.11989898989898991</v>
      </c>
      <c r="AFH57" s="1">
        <v>0.33339999999999997</v>
      </c>
      <c r="AFI57" s="1">
        <v>0.38175323599898991</v>
      </c>
      <c r="AFJ57" s="1">
        <v>1.29</v>
      </c>
      <c r="AFK57" s="1">
        <v>33.339999999999996</v>
      </c>
      <c r="AFL57" s="1">
        <v>33.339999999999996</v>
      </c>
      <c r="AFM57" s="1">
        <v>0</v>
      </c>
      <c r="AFO57" s="1">
        <v>33.339999999999996</v>
      </c>
      <c r="AFP57" s="1">
        <v>0</v>
      </c>
      <c r="AFQ57" s="1">
        <v>33.340000000000003</v>
      </c>
      <c r="AFX57" s="1">
        <v>34.07</v>
      </c>
    </row>
    <row r="58" spans="1:856" s="1" customFormat="1" ht="63.75" customHeight="1">
      <c r="A58" s="88">
        <v>50</v>
      </c>
      <c r="B58" s="20"/>
      <c r="C58" s="89" t="s">
        <v>566</v>
      </c>
      <c r="D58" s="20"/>
      <c r="E58" s="20" t="s">
        <v>536</v>
      </c>
      <c r="F58" s="20" t="s">
        <v>537</v>
      </c>
      <c r="G58" s="20">
        <v>1.2</v>
      </c>
      <c r="H58" s="20">
        <v>1410.7</v>
      </c>
      <c r="I58" s="20">
        <f>1410.7+3</f>
        <v>1413.7</v>
      </c>
      <c r="J58" s="20">
        <f t="shared" si="0"/>
        <v>1696.44</v>
      </c>
      <c r="K58" s="20">
        <v>27</v>
      </c>
      <c r="L58" s="20">
        <v>51</v>
      </c>
      <c r="M58" s="20">
        <v>65</v>
      </c>
      <c r="N58" s="20">
        <v>1603.12</v>
      </c>
      <c r="O58" s="90">
        <f t="shared" si="1"/>
        <v>1.1299999999999999</v>
      </c>
      <c r="P58" s="20">
        <v>5158</v>
      </c>
      <c r="Q58" s="90">
        <f t="shared" si="613"/>
        <v>429.83333333333331</v>
      </c>
      <c r="R58" s="90">
        <f t="shared" si="2"/>
        <v>0.3</v>
      </c>
      <c r="S58" s="20">
        <v>154.1</v>
      </c>
      <c r="T58" s="20">
        <v>2.6</v>
      </c>
      <c r="U58" s="20">
        <v>3.13</v>
      </c>
      <c r="V58" s="91">
        <f t="shared" si="3"/>
        <v>1254.07</v>
      </c>
      <c r="W58" s="20">
        <v>2.1000000000000001E-2</v>
      </c>
      <c r="X58" s="20">
        <f t="shared" si="4"/>
        <v>33.42</v>
      </c>
      <c r="Y58" s="91">
        <f t="shared" si="5"/>
        <v>108.15</v>
      </c>
      <c r="Z58" s="20">
        <v>1.7999999999999999E-2</v>
      </c>
      <c r="AA58" s="20">
        <f t="shared" si="561"/>
        <v>171.12</v>
      </c>
      <c r="AB58" s="91">
        <f t="shared" si="562"/>
        <v>474.65</v>
      </c>
      <c r="AC58" s="91">
        <f t="shared" si="6"/>
        <v>1836.87</v>
      </c>
      <c r="AD58" s="90">
        <f t="shared" si="7"/>
        <v>1.3</v>
      </c>
      <c r="AE58" s="92">
        <f t="shared" si="8"/>
        <v>22042.44</v>
      </c>
      <c r="AF58" s="20">
        <v>62</v>
      </c>
      <c r="AG58" s="20">
        <v>51</v>
      </c>
      <c r="AH58" s="20">
        <v>51</v>
      </c>
      <c r="AI58" s="20">
        <v>47</v>
      </c>
      <c r="AJ58" s="20">
        <v>1.6</v>
      </c>
      <c r="AK58" s="90">
        <f t="shared" si="9"/>
        <v>6.8</v>
      </c>
      <c r="AL58" s="90">
        <v>391.01</v>
      </c>
      <c r="AM58" s="90">
        <f t="shared" si="10"/>
        <v>2658.87</v>
      </c>
      <c r="AN58" s="20">
        <v>55</v>
      </c>
      <c r="AO58" s="20">
        <v>46</v>
      </c>
      <c r="AP58" s="20">
        <v>62</v>
      </c>
      <c r="AQ58" s="20">
        <v>55</v>
      </c>
      <c r="AR58" s="20">
        <v>46</v>
      </c>
      <c r="AS58" s="20">
        <v>59</v>
      </c>
      <c r="AT58" s="20">
        <f t="shared" si="11"/>
        <v>11</v>
      </c>
      <c r="AU58" s="20">
        <v>1.6</v>
      </c>
      <c r="AV58" s="90">
        <f t="shared" si="12"/>
        <v>8.27</v>
      </c>
      <c r="AW58" s="90">
        <f t="shared" si="551"/>
        <v>188.88</v>
      </c>
      <c r="AX58" s="90">
        <v>1485.86</v>
      </c>
      <c r="AY58" s="90">
        <f t="shared" si="14"/>
        <v>1.05</v>
      </c>
      <c r="AZ58" s="90">
        <f t="shared" si="15"/>
        <v>3232.35</v>
      </c>
      <c r="BA58" s="90">
        <f t="shared" si="16"/>
        <v>-1746.49</v>
      </c>
      <c r="BB58" s="90">
        <v>1485.86</v>
      </c>
      <c r="BC58" s="90">
        <v>1.05</v>
      </c>
      <c r="BD58" s="92">
        <f t="shared" si="17"/>
        <v>17830.32</v>
      </c>
      <c r="BE58" s="90"/>
      <c r="BF58" s="90">
        <f t="shared" si="18"/>
        <v>0</v>
      </c>
      <c r="BG58" s="90">
        <v>391.01</v>
      </c>
      <c r="BH58" s="90">
        <f t="shared" si="19"/>
        <v>3233.65</v>
      </c>
      <c r="BI58" s="90">
        <f t="shared" si="20"/>
        <v>2.29</v>
      </c>
      <c r="BJ58" s="90">
        <f t="shared" si="21"/>
        <v>218.09523809523807</v>
      </c>
      <c r="BK58" s="90">
        <f t="shared" si="22"/>
        <v>3233.65</v>
      </c>
      <c r="BL58" s="90">
        <f t="shared" si="23"/>
        <v>2.29</v>
      </c>
      <c r="BM58" s="90"/>
      <c r="BN58" s="90">
        <f t="shared" si="24"/>
        <v>0</v>
      </c>
      <c r="BO58" s="90">
        <f t="shared" si="25"/>
        <v>3233.65</v>
      </c>
      <c r="BP58" s="90">
        <f t="shared" si="26"/>
        <v>2.2873664851099949</v>
      </c>
      <c r="BQ58" s="90"/>
      <c r="BR58" s="90">
        <f t="shared" si="27"/>
        <v>0</v>
      </c>
      <c r="BS58" s="90">
        <f t="shared" si="28"/>
        <v>3233.65</v>
      </c>
      <c r="BT58" s="90">
        <f t="shared" si="29"/>
        <v>2.2873664851099949</v>
      </c>
      <c r="BU58" s="90"/>
      <c r="BV58" s="93">
        <v>1.7027650000000001</v>
      </c>
      <c r="BW58" s="90">
        <f t="shared" si="30"/>
        <v>2407.1988805000001</v>
      </c>
      <c r="BX58" s="90">
        <f t="shared" si="31"/>
        <v>2551.6308133300004</v>
      </c>
      <c r="BY58" s="90"/>
      <c r="BZ58" s="90">
        <v>3294.6431558300001</v>
      </c>
      <c r="CA58" s="90">
        <v>0.37305430897000003</v>
      </c>
      <c r="CB58" s="90">
        <f t="shared" si="556"/>
        <v>527.38687659088907</v>
      </c>
      <c r="CC58" s="90">
        <v>0.37305430897000003</v>
      </c>
      <c r="CD58" s="90">
        <f t="shared" si="563"/>
        <v>527.38687659088907</v>
      </c>
      <c r="CE58" s="90">
        <f t="shared" si="564"/>
        <v>527.38687659088907</v>
      </c>
      <c r="CF58" s="90">
        <v>510.38264162172129</v>
      </c>
      <c r="CG58" s="90">
        <v>510.38264162172129</v>
      </c>
      <c r="CH58" s="90">
        <f t="shared" si="565"/>
        <v>510.38</v>
      </c>
      <c r="CI58" s="90">
        <f>I58*0.381066941</f>
        <v>538.71433449170001</v>
      </c>
      <c r="CJ58" s="90">
        <f t="shared" si="36"/>
        <v>538.45000000000005</v>
      </c>
      <c r="CK58" s="90">
        <f t="shared" si="37"/>
        <v>581.20483598647309</v>
      </c>
      <c r="CL58" s="90">
        <f t="shared" si="38"/>
        <v>581.20483598647309</v>
      </c>
      <c r="CM58" s="94">
        <v>0.14899999999999999</v>
      </c>
      <c r="CN58" s="90">
        <f t="shared" si="39"/>
        <v>358.67263319450001</v>
      </c>
      <c r="CO58" s="90">
        <f t="shared" si="40"/>
        <v>380.19299118617005</v>
      </c>
      <c r="CP58" s="90">
        <v>490.90243950000001</v>
      </c>
      <c r="CQ58" s="90">
        <v>5.0232736819999999E-2</v>
      </c>
      <c r="CR58" s="90">
        <f t="shared" si="557"/>
        <v>71.014020042433998</v>
      </c>
      <c r="CS58" s="90">
        <v>5.0232736819999999E-2</v>
      </c>
      <c r="CT58" s="90">
        <f t="shared" si="566"/>
        <v>71.014020042433998</v>
      </c>
      <c r="CU58" s="90">
        <f t="shared" si="567"/>
        <v>71.014020042433998</v>
      </c>
      <c r="CV58" s="90">
        <v>146.40126520691189</v>
      </c>
      <c r="CW58" s="90">
        <f t="shared" si="568"/>
        <v>146.4</v>
      </c>
      <c r="CX58" s="90">
        <f>I58*0.109307183</f>
        <v>154.5275646071</v>
      </c>
      <c r="CY58" s="90">
        <f t="shared" si="45"/>
        <v>154.44999999999999</v>
      </c>
      <c r="CZ58" s="90">
        <f t="shared" si="46"/>
        <v>166.71575655695202</v>
      </c>
      <c r="DA58" s="90">
        <f t="shared" si="47"/>
        <v>166.71575655695202</v>
      </c>
      <c r="DB58" s="93">
        <v>1.1979820000000001</v>
      </c>
      <c r="DC58" s="90">
        <f t="shared" si="48"/>
        <v>1693.5871534000003</v>
      </c>
      <c r="DD58" s="90">
        <f t="shared" si="49"/>
        <v>1795.2023826040004</v>
      </c>
      <c r="DE58" s="90"/>
      <c r="DF58" s="90">
        <v>955.84026433459849</v>
      </c>
      <c r="DG58" s="90">
        <v>0.28219173505</v>
      </c>
      <c r="DH58" s="90">
        <f t="shared" si="558"/>
        <v>398.93445584018502</v>
      </c>
      <c r="DI58" s="90">
        <v>0.28219173505</v>
      </c>
      <c r="DJ58" s="90">
        <f t="shared" si="569"/>
        <v>398.93445584018502</v>
      </c>
      <c r="DK58" s="90">
        <f t="shared" si="570"/>
        <v>398.93445584018502</v>
      </c>
      <c r="DL58" s="90">
        <v>322.33902001392858</v>
      </c>
      <c r="DM58" s="90">
        <f t="shared" si="571"/>
        <v>322.33999999999997</v>
      </c>
      <c r="DN58" s="90">
        <f>I58*0.240669928</f>
        <v>340.23507721359999</v>
      </c>
      <c r="DO58" s="90">
        <f t="shared" si="54"/>
        <v>340.07</v>
      </c>
      <c r="DP58" s="90">
        <f t="shared" si="55"/>
        <v>367.07074526865421</v>
      </c>
      <c r="DQ58" s="90">
        <f t="shared" si="56"/>
        <v>367.07074526865421</v>
      </c>
      <c r="DR58" s="93">
        <v>4.2594E-2</v>
      </c>
      <c r="DS58" s="90">
        <f t="shared" si="57"/>
        <v>60.215137800000001</v>
      </c>
      <c r="DT58" s="90">
        <f t="shared" si="58"/>
        <v>63.828046068000006</v>
      </c>
      <c r="DU58" s="90">
        <v>36.152979990994147</v>
      </c>
      <c r="DV58" s="90">
        <v>1.366632888E-2</v>
      </c>
      <c r="DW58" s="90">
        <f t="shared" si="559"/>
        <v>19.320089137656002</v>
      </c>
      <c r="DX58" s="90">
        <v>1.366632888E-2</v>
      </c>
      <c r="DY58" s="90">
        <f t="shared" si="572"/>
        <v>19.320089137656002</v>
      </c>
      <c r="DZ58" s="90">
        <f t="shared" si="573"/>
        <v>19.320089137656002</v>
      </c>
      <c r="EA58" s="90">
        <f t="shared" si="574"/>
        <v>19.32</v>
      </c>
      <c r="EB58" s="90">
        <f>I58*0.014395099</f>
        <v>20.3503514563</v>
      </c>
      <c r="EC58" s="90">
        <f t="shared" si="63"/>
        <v>20.38</v>
      </c>
      <c r="ED58" s="90">
        <f t="shared" si="64"/>
        <v>21.955463077821918</v>
      </c>
      <c r="EE58" s="90">
        <f t="shared" si="65"/>
        <v>21.955463077821918</v>
      </c>
      <c r="EF58" s="94">
        <v>0.85293354333000004</v>
      </c>
      <c r="EG58" s="90">
        <f t="shared" si="66"/>
        <v>1446.9505802467454</v>
      </c>
      <c r="EH58" s="90">
        <f t="shared" si="67"/>
        <v>1533.7676150615503</v>
      </c>
      <c r="EI58" s="90">
        <v>1235.9651170695947</v>
      </c>
      <c r="EJ58" s="90">
        <v>0.16695248382</v>
      </c>
      <c r="EK58" s="90">
        <f>$I58*EJ58</f>
        <v>236.02072637633401</v>
      </c>
      <c r="EL58" s="90">
        <v>0.16695248382</v>
      </c>
      <c r="EM58" s="90">
        <f t="shared" si="575"/>
        <v>236.02072637633401</v>
      </c>
      <c r="EN58" s="90">
        <f t="shared" si="576"/>
        <v>236.02072637633401</v>
      </c>
      <c r="EO58" s="90">
        <v>229.17956971147896</v>
      </c>
      <c r="EP58" s="90">
        <f t="shared" si="577"/>
        <v>229.18</v>
      </c>
      <c r="EQ58" s="90">
        <f>I58*0.171113526</f>
        <v>241.9031917062</v>
      </c>
      <c r="ER58" s="90">
        <f t="shared" si="72"/>
        <v>241.78</v>
      </c>
      <c r="ES58" s="90">
        <f t="shared" si="73"/>
        <v>260.9830402839828</v>
      </c>
      <c r="ET58" s="90">
        <f t="shared" si="74"/>
        <v>260.9830402839828</v>
      </c>
      <c r="EU58" s="94">
        <v>0.14899999999999999</v>
      </c>
      <c r="EV58" s="90">
        <f t="shared" si="75"/>
        <v>215.59563645676505</v>
      </c>
      <c r="EW58" s="90">
        <f t="shared" si="76"/>
        <v>228.53137464417097</v>
      </c>
      <c r="EX58" s="90">
        <v>184.18337022649467</v>
      </c>
      <c r="EY58" s="90">
        <v>2.4876671749999999E-2</v>
      </c>
      <c r="EZ58" s="90">
        <f>$I58*EY58</f>
        <v>35.168150852975003</v>
      </c>
      <c r="FA58" s="90">
        <v>2.4876671749999999E-2</v>
      </c>
      <c r="FB58" s="90">
        <f t="shared" si="578"/>
        <v>35.168150852975003</v>
      </c>
      <c r="FC58" s="90">
        <f t="shared" si="579"/>
        <v>35.168150852975003</v>
      </c>
      <c r="FD58" s="90">
        <v>70.837395520884868</v>
      </c>
      <c r="FE58" s="90">
        <f t="shared" si="580"/>
        <v>70.84</v>
      </c>
      <c r="FF58" s="90">
        <f>I58*0.052891536</f>
        <v>74.772764443200003</v>
      </c>
      <c r="FG58" s="90">
        <f t="shared" si="81"/>
        <v>74.739999999999995</v>
      </c>
      <c r="FH58" s="90">
        <f t="shared" si="82"/>
        <v>80.67038412012927</v>
      </c>
      <c r="FI58" s="90">
        <f t="shared" si="83"/>
        <v>80.67038412012927</v>
      </c>
      <c r="FJ58" s="93">
        <v>0.49981642240000002</v>
      </c>
      <c r="FK58" s="90">
        <f t="shared" si="84"/>
        <v>847.90857161625604</v>
      </c>
      <c r="FL58" s="90">
        <f t="shared" si="85"/>
        <v>898.7830859132315</v>
      </c>
      <c r="FM58" s="90">
        <v>681.78453323002498</v>
      </c>
      <c r="FN58" s="90">
        <v>0.10761684168000001</v>
      </c>
      <c r="FO58" s="90">
        <f>$I58*FN58</f>
        <v>152.13792908301602</v>
      </c>
      <c r="FP58" s="90">
        <v>0.10761684168000001</v>
      </c>
      <c r="FQ58" s="90">
        <f t="shared" si="581"/>
        <v>152.13792908301602</v>
      </c>
      <c r="FR58" s="90">
        <f t="shared" si="582"/>
        <v>152.13792908301602</v>
      </c>
      <c r="FS58" s="90">
        <v>117.78485634818371</v>
      </c>
      <c r="FT58" s="90">
        <f t="shared" si="89"/>
        <v>123.44</v>
      </c>
      <c r="FU58" s="90">
        <v>138.50749237663678</v>
      </c>
      <c r="FV58" s="90">
        <f t="shared" si="583"/>
        <v>138.51</v>
      </c>
      <c r="FW58" s="90">
        <f>I58*0.103416243</f>
        <v>146.19954272910002</v>
      </c>
      <c r="FX58" s="90">
        <f t="shared" si="91"/>
        <v>146.13</v>
      </c>
      <c r="FY58" s="90">
        <f t="shared" si="92"/>
        <v>157.73087109950126</v>
      </c>
      <c r="FZ58" s="90">
        <f t="shared" si="93"/>
        <v>157.73087109950126</v>
      </c>
      <c r="GA58" s="94">
        <v>1.352261642E-2</v>
      </c>
      <c r="GB58" s="90">
        <f t="shared" si="94"/>
        <v>22.9403073995448</v>
      </c>
      <c r="GC58" s="90">
        <f t="shared" si="95"/>
        <v>24.316725843517489</v>
      </c>
      <c r="GD58" s="90">
        <v>19.9008546600686</v>
      </c>
      <c r="GE58" s="90">
        <v>2.9119942899999999E-3</v>
      </c>
      <c r="GF58" s="90">
        <f>$I58*GE58</f>
        <v>4.1166863277730004</v>
      </c>
      <c r="GG58" s="90">
        <v>2.9119942899999999E-3</v>
      </c>
      <c r="GH58" s="90">
        <f t="shared" si="584"/>
        <v>4.1166863277730004</v>
      </c>
      <c r="GI58" s="90">
        <f t="shared" si="585"/>
        <v>4.1166863277730004</v>
      </c>
      <c r="GJ58" s="90">
        <f t="shared" si="586"/>
        <v>4.12</v>
      </c>
      <c r="GK58" s="90">
        <f>I58*0.003068665</f>
        <v>4.3381717105000002</v>
      </c>
      <c r="GL58" s="90">
        <f t="shared" si="100"/>
        <v>4.3499999999999996</v>
      </c>
      <c r="GM58" s="90">
        <f t="shared" si="101"/>
        <v>4.6803402398069229</v>
      </c>
      <c r="GN58" s="90">
        <f t="shared" si="102"/>
        <v>4.6803402398069229</v>
      </c>
      <c r="GO58" s="90">
        <v>5443.2</v>
      </c>
      <c r="GP58" s="90">
        <f t="shared" si="622"/>
        <v>453.59999999999997</v>
      </c>
      <c r="GQ58" s="90">
        <f t="shared" si="614"/>
        <v>4403.7</v>
      </c>
      <c r="GR58" s="90">
        <f t="shared" si="104"/>
        <v>366.97499999999997</v>
      </c>
      <c r="GS58" s="90">
        <f t="shared" si="105"/>
        <v>820.57499999999993</v>
      </c>
      <c r="GT58" s="90">
        <f t="shared" si="106"/>
        <v>0.57999999999999996</v>
      </c>
      <c r="GU58" s="90">
        <v>6217.56</v>
      </c>
      <c r="GV58" s="90">
        <f t="shared" si="615"/>
        <v>4179.24</v>
      </c>
      <c r="GW58" s="90">
        <f t="shared" si="107"/>
        <v>866.4</v>
      </c>
      <c r="GX58" s="90">
        <f t="shared" si="108"/>
        <v>0.61</v>
      </c>
      <c r="GY58" s="90">
        <v>11111.58</v>
      </c>
      <c r="GZ58" s="90">
        <f t="shared" si="616"/>
        <v>4449.42</v>
      </c>
      <c r="HA58" s="90">
        <f t="shared" si="109"/>
        <v>1296.75</v>
      </c>
      <c r="HB58" s="90">
        <f t="shared" si="110"/>
        <v>0.92</v>
      </c>
      <c r="HC58" s="90">
        <v>11111.58</v>
      </c>
      <c r="HD58" s="90">
        <f t="shared" si="617"/>
        <v>4449.42</v>
      </c>
      <c r="HE58" s="90">
        <f t="shared" si="111"/>
        <v>1296.75</v>
      </c>
      <c r="HF58" s="90">
        <f t="shared" si="112"/>
        <v>0.92</v>
      </c>
      <c r="HG58" s="90"/>
      <c r="HH58" s="90"/>
      <c r="HI58" s="90">
        <v>0.96</v>
      </c>
      <c r="HJ58" s="90">
        <f t="shared" si="113"/>
        <v>1357.152</v>
      </c>
      <c r="HK58" s="90">
        <f t="shared" si="114"/>
        <v>1.0099172384522883</v>
      </c>
      <c r="HL58" s="90">
        <f t="shared" si="587"/>
        <v>1427.72</v>
      </c>
      <c r="HM58" s="90">
        <v>1.07</v>
      </c>
      <c r="HN58" s="90">
        <f t="shared" si="116"/>
        <v>1512.6590000000001</v>
      </c>
      <c r="HO58" s="90">
        <v>1.1499999999999999</v>
      </c>
      <c r="HP58" s="90">
        <f t="shared" si="117"/>
        <v>1625.76</v>
      </c>
      <c r="HQ58" s="90">
        <v>1.1499999999999999</v>
      </c>
      <c r="HR58" s="90">
        <f t="shared" si="118"/>
        <v>1625.76</v>
      </c>
      <c r="HS58" s="90">
        <v>0.96</v>
      </c>
      <c r="HT58" s="90">
        <f t="shared" si="588"/>
        <v>1357.152</v>
      </c>
      <c r="HU58" s="90" t="e">
        <f>HT58*#REF!</f>
        <v>#REF!</v>
      </c>
      <c r="HV58" s="90">
        <v>2.83</v>
      </c>
      <c r="HW58" s="20">
        <v>3.49</v>
      </c>
      <c r="HX58" s="90">
        <f t="shared" si="120"/>
        <v>4933.8130000000001</v>
      </c>
      <c r="HY58" s="90">
        <v>1.06</v>
      </c>
      <c r="HZ58" s="90">
        <f t="shared" si="121"/>
        <v>5229.8417800000007</v>
      </c>
      <c r="IA58" s="90">
        <f t="shared" si="122"/>
        <v>3.7</v>
      </c>
      <c r="IB58" s="90">
        <f t="shared" si="123"/>
        <v>3.88</v>
      </c>
      <c r="IC58" s="90">
        <f t="shared" si="124"/>
        <v>5485.1559999999999</v>
      </c>
      <c r="ID58" s="90">
        <f t="shared" si="125"/>
        <v>4.09</v>
      </c>
      <c r="IE58" s="90">
        <f t="shared" si="126"/>
        <v>5782.03</v>
      </c>
      <c r="IF58" s="90">
        <f t="shared" si="127"/>
        <v>4.09</v>
      </c>
      <c r="IG58" s="92">
        <f t="shared" si="128"/>
        <v>69384.36</v>
      </c>
      <c r="IH58" s="90">
        <v>4.3899999999999997</v>
      </c>
      <c r="II58" s="90">
        <f t="shared" si="129"/>
        <v>4.6100000000000003</v>
      </c>
      <c r="IJ58" s="90">
        <f t="shared" si="130"/>
        <v>6517.16</v>
      </c>
      <c r="IK58" s="90">
        <f t="shared" si="131"/>
        <v>4.6100000000000003</v>
      </c>
      <c r="IL58" s="90">
        <f t="shared" si="132"/>
        <v>6517.16</v>
      </c>
      <c r="IM58" s="90">
        <f t="shared" si="133"/>
        <v>4.6100000000000003</v>
      </c>
      <c r="IN58" s="90">
        <f t="shared" si="134"/>
        <v>6517.16</v>
      </c>
      <c r="IO58" s="90">
        <f t="shared" si="135"/>
        <v>4.6100000000000003</v>
      </c>
      <c r="IP58" s="93">
        <v>0.37052404126999999</v>
      </c>
      <c r="IQ58" s="90">
        <f t="shared" si="136"/>
        <v>628.5718045720788</v>
      </c>
      <c r="IR58" s="90">
        <f t="shared" si="137"/>
        <v>666.28611284640351</v>
      </c>
      <c r="IS58" s="90">
        <v>18121.54</v>
      </c>
      <c r="IT58" s="90">
        <v>509.05</v>
      </c>
      <c r="IU58" s="90"/>
      <c r="IV58" s="90">
        <v>335.6744735822673</v>
      </c>
      <c r="IW58" s="90">
        <v>1.89119998663</v>
      </c>
      <c r="IX58" s="90">
        <f>$I58*IW58</f>
        <v>2673.5894210988313</v>
      </c>
      <c r="IY58" s="90">
        <v>1.89119998663</v>
      </c>
      <c r="IZ58" s="90">
        <f t="shared" si="139"/>
        <v>2673.5894210988313</v>
      </c>
      <c r="JA58" s="90">
        <f t="shared" si="589"/>
        <v>2602.9</v>
      </c>
      <c r="JB58" s="90">
        <f>I58*1.939291609</f>
        <v>2741.5765476433003</v>
      </c>
      <c r="JC58" s="90">
        <f t="shared" si="141"/>
        <v>2746.06</v>
      </c>
      <c r="JD58" s="90">
        <f t="shared" si="142"/>
        <v>2957.8153869264365</v>
      </c>
      <c r="JE58" s="90">
        <f t="shared" si="143"/>
        <v>2957.8153869264365</v>
      </c>
      <c r="JF58" s="93">
        <v>4.2278943710000003E-2</v>
      </c>
      <c r="JG58" s="90">
        <f t="shared" si="144"/>
        <v>71.723691267392411</v>
      </c>
      <c r="JH58" s="90">
        <f t="shared" si="145"/>
        <v>76.027112743435964</v>
      </c>
      <c r="JI58" s="20">
        <v>101.71</v>
      </c>
      <c r="JJ58" s="90">
        <v>42.718772694263301</v>
      </c>
      <c r="JK58" s="90">
        <v>0.21559114040999999</v>
      </c>
      <c r="JL58" s="90">
        <f>$I58*JK58</f>
        <v>304.78119519761702</v>
      </c>
      <c r="JM58" s="90">
        <v>0.21559114040999999</v>
      </c>
      <c r="JN58" s="90">
        <f t="shared" si="147"/>
        <v>304.78119519761702</v>
      </c>
      <c r="JO58" s="90">
        <f t="shared" si="590"/>
        <v>304.77999999999997</v>
      </c>
      <c r="JP58" s="90">
        <f>I58*0.227073727</f>
        <v>321.01412785990004</v>
      </c>
      <c r="JQ58" s="90">
        <f t="shared" si="149"/>
        <v>321.54000000000002</v>
      </c>
      <c r="JR58" s="90">
        <f t="shared" si="150"/>
        <v>346.3337646439191</v>
      </c>
      <c r="JS58" s="90">
        <f t="shared" si="151"/>
        <v>346.3337646439191</v>
      </c>
      <c r="JT58" s="93">
        <v>7.3220517000000002E-3</v>
      </c>
      <c r="JU58" s="90">
        <f t="shared" si="152"/>
        <v>12.421421385948001</v>
      </c>
      <c r="JV58" s="90">
        <f t="shared" si="591"/>
        <v>12.42</v>
      </c>
      <c r="JW58" s="90">
        <f>I58*0.009258259</f>
        <v>13.0884007483</v>
      </c>
      <c r="JX58" s="90">
        <f t="shared" si="154"/>
        <v>13.1</v>
      </c>
      <c r="JY58" s="90">
        <f t="shared" si="155"/>
        <v>14.120733983101642</v>
      </c>
      <c r="JZ58" s="90">
        <f t="shared" si="156"/>
        <v>14.120733983101642</v>
      </c>
      <c r="KA58" s="90">
        <v>1.1499999999999999</v>
      </c>
      <c r="KB58" s="90">
        <v>12.395061999828</v>
      </c>
      <c r="KC58" s="90" t="e">
        <f>KB58*#REF!</f>
        <v>#REF!</v>
      </c>
      <c r="KD58" s="90">
        <v>17952.740000000002</v>
      </c>
      <c r="KE58" s="90">
        <v>22700.14</v>
      </c>
      <c r="KF58" s="90"/>
      <c r="KG58" s="90">
        <f t="shared" si="550"/>
        <v>1787.5370510573873</v>
      </c>
      <c r="KH58" s="90" t="e">
        <f>KG58/(BW58+#REF!)*(CB58+#REF!)</f>
        <v>#REF!</v>
      </c>
      <c r="KI58" s="90">
        <v>0.8</v>
      </c>
      <c r="KJ58" s="94"/>
      <c r="KK58" s="90">
        <f t="shared" si="159"/>
        <v>0</v>
      </c>
      <c r="KL58" s="93"/>
      <c r="KM58" s="90">
        <v>2436.5683497438672</v>
      </c>
      <c r="KN58" s="90">
        <f t="shared" si="161"/>
        <v>2582.7624507284995</v>
      </c>
      <c r="KO58" s="90" t="e">
        <f>BW58+CN58+DC58+DS58+EG58+EV58+FK58+GB58+#REF!+#REF!+HJ58+HX58+IQ58+JG58+JU58+KK58+KM58</f>
        <v>#REF!</v>
      </c>
      <c r="KP58" s="90">
        <v>1922.8757461448224</v>
      </c>
      <c r="KQ58" s="90">
        <v>0.28334929455000002</v>
      </c>
      <c r="KR58" s="90">
        <f t="shared" si="560"/>
        <v>400.57089770533503</v>
      </c>
      <c r="KS58" s="90">
        <v>0.28334929455000002</v>
      </c>
      <c r="KT58" s="90">
        <f t="shared" si="592"/>
        <v>400.57089770533503</v>
      </c>
      <c r="KU58" s="90">
        <f t="shared" si="593"/>
        <v>400.57089770533503</v>
      </c>
      <c r="KV58" s="90">
        <f t="shared" si="594"/>
        <v>400.57</v>
      </c>
      <c r="KW58" s="90">
        <f>I58*0.298444449</f>
        <v>421.91091755130003</v>
      </c>
      <c r="KX58" s="90">
        <f t="shared" si="166"/>
        <v>422.6</v>
      </c>
      <c r="KY58" s="90">
        <f t="shared" si="167"/>
        <v>455.18867781322007</v>
      </c>
      <c r="KZ58" s="90">
        <f t="shared" si="168"/>
        <v>455.18867781322007</v>
      </c>
      <c r="LA58" s="90">
        <f t="shared" si="169"/>
        <v>6531.2899921605003</v>
      </c>
      <c r="LB58" s="90">
        <f t="shared" si="170"/>
        <v>4.62</v>
      </c>
      <c r="LC58" s="92">
        <f t="shared" si="171"/>
        <v>78375.479905926011</v>
      </c>
      <c r="LD58" s="92">
        <v>4.97</v>
      </c>
      <c r="LE58" s="92">
        <v>7026.09</v>
      </c>
      <c r="LF58" s="90">
        <f t="shared" si="172"/>
        <v>4.9800000000000004</v>
      </c>
      <c r="LG58" s="90">
        <f t="shared" si="173"/>
        <v>7040.23</v>
      </c>
      <c r="LH58" s="90">
        <f t="shared" si="174"/>
        <v>7021.1367415725372</v>
      </c>
      <c r="LI58" s="90">
        <f t="shared" si="175"/>
        <v>4.97</v>
      </c>
      <c r="LJ58" s="90">
        <f t="shared" si="176"/>
        <v>7040.2299999999987</v>
      </c>
      <c r="LK58" s="90">
        <f t="shared" si="177"/>
        <v>4.9800000000000004</v>
      </c>
      <c r="LL58" s="90">
        <f t="shared" si="178"/>
        <v>7040.2299999999987</v>
      </c>
      <c r="LM58" s="90">
        <f t="shared" si="179"/>
        <v>4.9800000000000004</v>
      </c>
      <c r="LN58" s="95">
        <v>0.46</v>
      </c>
      <c r="LO58" s="95">
        <f t="shared" si="180"/>
        <v>650.29999999999995</v>
      </c>
      <c r="LP58" s="95"/>
      <c r="LQ58" s="95">
        <f t="shared" si="181"/>
        <v>0</v>
      </c>
      <c r="LR58" s="90"/>
      <c r="LS58" s="90"/>
      <c r="LT58" s="90">
        <f t="shared" si="182"/>
        <v>0</v>
      </c>
      <c r="LU58" s="90"/>
      <c r="LV58" s="90">
        <f t="shared" si="183"/>
        <v>0</v>
      </c>
      <c r="LW58" s="90">
        <f t="shared" si="184"/>
        <v>0</v>
      </c>
      <c r="LX58" s="90"/>
      <c r="LY58" s="90"/>
      <c r="LZ58" s="90">
        <f t="shared" si="185"/>
        <v>0</v>
      </c>
      <c r="MA58" s="90"/>
      <c r="MB58" s="90">
        <f t="shared" si="186"/>
        <v>0</v>
      </c>
      <c r="MC58" s="90">
        <f t="shared" si="187"/>
        <v>0</v>
      </c>
      <c r="MD58" s="90"/>
      <c r="ME58" s="90"/>
      <c r="MF58" s="90">
        <f t="shared" si="188"/>
        <v>0</v>
      </c>
      <c r="MG58" s="90"/>
      <c r="MH58" s="90">
        <f t="shared" si="189"/>
        <v>0</v>
      </c>
      <c r="MI58" s="90">
        <f t="shared" si="190"/>
        <v>0</v>
      </c>
      <c r="MJ58" s="90"/>
      <c r="MK58" s="90"/>
      <c r="ML58" s="90">
        <f t="shared" si="191"/>
        <v>0</v>
      </c>
      <c r="MM58" s="90"/>
      <c r="MN58" s="90">
        <f t="shared" si="192"/>
        <v>0</v>
      </c>
      <c r="MO58" s="90">
        <f t="shared" si="193"/>
        <v>0</v>
      </c>
      <c r="MP58" s="90">
        <f t="shared" si="194"/>
        <v>0</v>
      </c>
      <c r="MQ58" s="90">
        <f t="shared" si="195"/>
        <v>0</v>
      </c>
      <c r="MR58" s="90">
        <f t="shared" si="196"/>
        <v>0</v>
      </c>
      <c r="MS58" s="90">
        <f t="shared" si="197"/>
        <v>0</v>
      </c>
      <c r="MT58" s="95"/>
      <c r="MU58" s="95">
        <f t="shared" si="198"/>
        <v>0</v>
      </c>
      <c r="MV58" s="92">
        <f t="shared" si="199"/>
        <v>0</v>
      </c>
      <c r="MW58" s="95"/>
      <c r="MX58" s="95">
        <f t="shared" si="200"/>
        <v>0</v>
      </c>
      <c r="MY58" s="95"/>
      <c r="MZ58" s="95">
        <f t="shared" si="201"/>
        <v>0</v>
      </c>
      <c r="NA58" s="95"/>
      <c r="NB58" s="95">
        <f t="shared" si="202"/>
        <v>0</v>
      </c>
      <c r="NC58" s="92">
        <f t="shared" si="203"/>
        <v>0</v>
      </c>
      <c r="ND58" s="95"/>
      <c r="NE58" s="95">
        <f t="shared" si="204"/>
        <v>0</v>
      </c>
      <c r="NF58" s="95"/>
      <c r="NG58" s="95">
        <f t="shared" si="205"/>
        <v>0</v>
      </c>
      <c r="NH58" s="95"/>
      <c r="NI58" s="95"/>
      <c r="NJ58" s="95">
        <f t="shared" si="206"/>
        <v>0</v>
      </c>
      <c r="NK58" s="92">
        <f t="shared" si="207"/>
        <v>0</v>
      </c>
      <c r="NL58" s="95"/>
      <c r="NM58" s="95">
        <f t="shared" si="208"/>
        <v>0</v>
      </c>
      <c r="NN58" s="95"/>
      <c r="NO58" s="95">
        <f t="shared" si="209"/>
        <v>0</v>
      </c>
      <c r="NP58" s="95"/>
      <c r="NQ58" s="95">
        <f t="shared" si="210"/>
        <v>0</v>
      </c>
      <c r="NR58" s="92">
        <f t="shared" si="211"/>
        <v>0</v>
      </c>
      <c r="NS58" s="95"/>
      <c r="NT58" s="95">
        <f t="shared" si="212"/>
        <v>0</v>
      </c>
      <c r="NU58" s="95"/>
      <c r="NV58" s="95">
        <f t="shared" si="213"/>
        <v>0</v>
      </c>
      <c r="NW58" s="95">
        <f>0.55+0.25</f>
        <v>0.8</v>
      </c>
      <c r="NX58" s="95">
        <f t="shared" si="214"/>
        <v>1130.96</v>
      </c>
      <c r="NY58" s="92">
        <f t="shared" si="215"/>
        <v>13571.52</v>
      </c>
      <c r="NZ58" s="112">
        <f>0.55+0.25</f>
        <v>0.8</v>
      </c>
      <c r="OA58" s="95">
        <f t="shared" si="216"/>
        <v>1130.96</v>
      </c>
      <c r="OB58" s="112">
        <f t="shared" si="618"/>
        <v>0.78</v>
      </c>
      <c r="OC58" s="95">
        <f t="shared" si="217"/>
        <v>1102.69</v>
      </c>
      <c r="OD58" s="90">
        <v>5854.41</v>
      </c>
      <c r="OE58" s="90">
        <f t="shared" si="218"/>
        <v>4.1399999999999997</v>
      </c>
      <c r="OF58" s="92">
        <f t="shared" si="219"/>
        <v>70252.92</v>
      </c>
      <c r="OG58" s="96">
        <v>1485.86</v>
      </c>
      <c r="OH58" s="96">
        <v>1.05</v>
      </c>
      <c r="OI58" s="90">
        <v>7335.64</v>
      </c>
      <c r="OJ58" s="90">
        <f t="shared" si="220"/>
        <v>5.19</v>
      </c>
      <c r="OK58" s="90">
        <f t="shared" si="221"/>
        <v>7340.2699999999995</v>
      </c>
      <c r="OL58" s="90">
        <f t="shared" si="222"/>
        <v>5.19</v>
      </c>
      <c r="OM58" s="90">
        <f t="shared" si="223"/>
        <v>0</v>
      </c>
      <c r="ON58" s="90">
        <v>5854.41</v>
      </c>
      <c r="OO58" s="90">
        <f t="shared" si="224"/>
        <v>4.1399999999999997</v>
      </c>
      <c r="OP58" s="90">
        <v>5849.7800000000007</v>
      </c>
      <c r="OQ58" s="90">
        <v>4.1500000000000004</v>
      </c>
      <c r="OR58" s="90">
        <f t="shared" si="225"/>
        <v>-1.0000000000000675E-2</v>
      </c>
      <c r="OS58" s="90">
        <f t="shared" si="226"/>
        <v>4.1400000000000006</v>
      </c>
      <c r="OT58" s="90">
        <v>5854.41</v>
      </c>
      <c r="OU58" s="90">
        <f t="shared" si="227"/>
        <v>4.1399999999999997</v>
      </c>
      <c r="OV58" s="97">
        <v>5866.86</v>
      </c>
      <c r="OW58" s="111">
        <f t="shared" si="619"/>
        <v>9019.41</v>
      </c>
      <c r="OX58" s="90">
        <f t="shared" si="229"/>
        <v>6.38</v>
      </c>
      <c r="OY58" s="90">
        <f>OU58-1+1.01+2.6+1.26-1.63</f>
        <v>6.38</v>
      </c>
      <c r="OZ58" s="90"/>
      <c r="PA58" s="90"/>
      <c r="PB58" s="95">
        <f t="shared" si="230"/>
        <v>0</v>
      </c>
      <c r="PC58" s="92">
        <f t="shared" si="231"/>
        <v>0</v>
      </c>
      <c r="PD58" s="90"/>
      <c r="PE58" s="95">
        <f t="shared" si="232"/>
        <v>0</v>
      </c>
      <c r="PF58" s="90">
        <f t="shared" si="233"/>
        <v>21605.124992160501</v>
      </c>
      <c r="PG58" s="90">
        <f t="shared" si="234"/>
        <v>15.28</v>
      </c>
      <c r="PH58" s="90">
        <f t="shared" si="235"/>
        <v>28888.459999999995</v>
      </c>
      <c r="PI58" s="90">
        <f t="shared" si="236"/>
        <v>20.43</v>
      </c>
      <c r="PJ58" s="90">
        <f t="shared" si="237"/>
        <v>28888.459999999995</v>
      </c>
      <c r="PK58" s="90">
        <f t="shared" si="238"/>
        <v>20.43</v>
      </c>
      <c r="PL58" s="90"/>
      <c r="PM58" s="90">
        <f t="shared" si="239"/>
        <v>648.15</v>
      </c>
      <c r="PN58" s="90">
        <f t="shared" si="240"/>
        <v>0.46</v>
      </c>
      <c r="PO58" s="92">
        <f t="shared" si="241"/>
        <v>7777.7999999999993</v>
      </c>
      <c r="PP58" s="90">
        <f t="shared" si="242"/>
        <v>866.65</v>
      </c>
      <c r="PQ58" s="90">
        <f t="shared" si="243"/>
        <v>0.61</v>
      </c>
      <c r="PR58" s="90">
        <f t="shared" si="244"/>
        <v>866.65</v>
      </c>
      <c r="PS58" s="90">
        <f t="shared" si="245"/>
        <v>0.61</v>
      </c>
      <c r="PT58" s="90">
        <f t="shared" si="246"/>
        <v>22253.274992160503</v>
      </c>
      <c r="PU58" s="90">
        <f t="shared" si="247"/>
        <v>15.74</v>
      </c>
      <c r="PV58" s="90">
        <f t="shared" si="248"/>
        <v>29755.109999999997</v>
      </c>
      <c r="PW58" s="90">
        <f t="shared" si="249"/>
        <v>21.05</v>
      </c>
      <c r="PX58" s="90">
        <f t="shared" si="250"/>
        <v>29755.109999999997</v>
      </c>
      <c r="PY58" s="90">
        <f t="shared" si="251"/>
        <v>21.05</v>
      </c>
      <c r="PZ58" s="90">
        <f t="shared" si="252"/>
        <v>224.78</v>
      </c>
      <c r="QA58" s="90">
        <f t="shared" si="253"/>
        <v>0.16</v>
      </c>
      <c r="QB58" s="92">
        <f t="shared" si="254"/>
        <v>2697.36</v>
      </c>
      <c r="QC58" s="90">
        <f t="shared" si="255"/>
        <v>300.56</v>
      </c>
      <c r="QD58" s="90">
        <f t="shared" si="256"/>
        <v>0.21</v>
      </c>
      <c r="QE58" s="90">
        <f t="shared" si="257"/>
        <v>300.56</v>
      </c>
      <c r="QF58" s="90">
        <f t="shared" si="258"/>
        <v>0.21</v>
      </c>
      <c r="QG58" s="90">
        <f t="shared" si="259"/>
        <v>22478.054992160502</v>
      </c>
      <c r="QH58" s="90">
        <f t="shared" si="260"/>
        <v>15.9</v>
      </c>
      <c r="QI58" s="92">
        <f t="shared" si="261"/>
        <v>269736.65990592603</v>
      </c>
      <c r="QJ58" s="90">
        <f t="shared" si="262"/>
        <v>437.81091755130001</v>
      </c>
      <c r="QK58" s="98">
        <f t="shared" si="263"/>
        <v>0.30915000000000004</v>
      </c>
      <c r="QL58" s="90">
        <f t="shared" si="264"/>
        <v>437.04535500000009</v>
      </c>
      <c r="QM58" s="90">
        <f t="shared" si="265"/>
        <v>0.15110000000000001</v>
      </c>
      <c r="QN58" s="90">
        <f t="shared" si="266"/>
        <v>213.61007000000004</v>
      </c>
      <c r="QO58" s="90">
        <v>0.27615000000000001</v>
      </c>
      <c r="QP58" s="90">
        <v>0.18410000000000001</v>
      </c>
      <c r="QQ58" s="97">
        <f t="shared" si="267"/>
        <v>650.65542500000015</v>
      </c>
      <c r="QR58" s="97">
        <v>649.27467500000012</v>
      </c>
      <c r="QS58" s="97">
        <f t="shared" si="268"/>
        <v>1.3807500000000346</v>
      </c>
      <c r="QT58" s="90"/>
      <c r="QU58" s="90">
        <f t="shared" si="269"/>
        <v>0.15110000000000001</v>
      </c>
      <c r="QV58" s="90">
        <f t="shared" si="270"/>
        <v>213.61007000000004</v>
      </c>
      <c r="QW58" s="90">
        <f t="shared" si="271"/>
        <v>650.65542500000015</v>
      </c>
      <c r="QX58" s="90">
        <f t="shared" si="272"/>
        <v>0.4602500000000001</v>
      </c>
      <c r="QY58" s="90"/>
      <c r="QZ58" s="90"/>
      <c r="RA58" s="90"/>
      <c r="RB58" s="90">
        <v>6179.36</v>
      </c>
      <c r="RC58" s="97">
        <f t="shared" si="273"/>
        <v>22478.054992160502</v>
      </c>
      <c r="RD58" s="97">
        <f t="shared" si="274"/>
        <v>15.9</v>
      </c>
      <c r="RE58" s="90">
        <f t="shared" si="275"/>
        <v>30055.67</v>
      </c>
      <c r="RF58" s="90">
        <f t="shared" si="276"/>
        <v>21.26</v>
      </c>
      <c r="RG58" s="90">
        <f t="shared" si="277"/>
        <v>133.7106918238994</v>
      </c>
      <c r="RH58" s="90">
        <f t="shared" si="278"/>
        <v>30055.67</v>
      </c>
      <c r="RI58" s="90">
        <f t="shared" si="279"/>
        <v>21.26</v>
      </c>
      <c r="RJ58" s="90">
        <v>18.670000000000005</v>
      </c>
      <c r="RK58" s="90">
        <v>0</v>
      </c>
      <c r="RL58" s="90">
        <f t="shared" si="280"/>
        <v>2.5899999999999963</v>
      </c>
      <c r="RM58" s="90">
        <f t="shared" si="281"/>
        <v>120.52154195011336</v>
      </c>
      <c r="RN58" s="90">
        <f t="shared" si="282"/>
        <v>16780.559992160499</v>
      </c>
      <c r="RO58" s="90"/>
      <c r="RP58" s="90"/>
      <c r="RQ58" s="99">
        <v>3358</v>
      </c>
      <c r="RR58" s="90">
        <f t="shared" si="283"/>
        <v>16623.644992160502</v>
      </c>
      <c r="RS58" s="90">
        <f t="shared" si="284"/>
        <v>11.758962291971777</v>
      </c>
      <c r="RT58" s="20">
        <v>14.56</v>
      </c>
      <c r="RU58" s="90">
        <f t="shared" si="285"/>
        <v>20583.472000000002</v>
      </c>
      <c r="RV58" s="90">
        <f t="shared" si="286"/>
        <v>0.30969153112492043</v>
      </c>
      <c r="RW58" s="20">
        <v>13.49</v>
      </c>
      <c r="RX58" s="90">
        <f t="shared" si="287"/>
        <v>14.1645</v>
      </c>
      <c r="RY58" s="90">
        <f t="shared" si="288"/>
        <v>20024.353650000001</v>
      </c>
      <c r="RZ58" s="90">
        <f t="shared" si="289"/>
        <v>6192.6138696389935</v>
      </c>
      <c r="SA58" s="90">
        <f t="shared" si="290"/>
        <v>1844.6698319565971</v>
      </c>
      <c r="SB58" s="90">
        <f t="shared" si="291"/>
        <v>1844.6434725704771</v>
      </c>
      <c r="SC58" s="90">
        <f t="shared" si="292"/>
        <v>6192.6138696389935</v>
      </c>
      <c r="SD58" s="90">
        <f t="shared" si="293"/>
        <v>6192.5875102528735</v>
      </c>
      <c r="SE58" s="90">
        <f t="shared" si="294"/>
        <v>6189.604352474882</v>
      </c>
      <c r="SF58" s="90">
        <f t="shared" si="295"/>
        <v>6168.8764592762691</v>
      </c>
      <c r="SG58" s="90">
        <f t="shared" si="296"/>
        <v>23.737410362724404</v>
      </c>
      <c r="SH58" s="90">
        <f t="shared" si="297"/>
        <v>6189.5990953047221</v>
      </c>
      <c r="SI58" s="90">
        <f t="shared" si="298"/>
        <v>4.3804113392182735</v>
      </c>
      <c r="SJ58" s="100">
        <f t="shared" si="299"/>
        <v>4.3636390035200314</v>
      </c>
      <c r="SK58" s="100"/>
      <c r="SL58" s="100"/>
      <c r="SM58" s="90"/>
      <c r="SN58" s="90">
        <f t="shared" si="300"/>
        <v>6267.45</v>
      </c>
      <c r="SO58" s="90" t="e">
        <f>RU58-#REF!-#REF!-HZ58-LT58-LZ58-MF58-ML58-QL58-QN58-SD58</f>
        <v>#REF!</v>
      </c>
      <c r="SP58" s="90">
        <f t="shared" si="301"/>
        <v>6189.4799999999987</v>
      </c>
      <c r="SQ58" s="90">
        <f t="shared" si="302"/>
        <v>6531.2899921605003</v>
      </c>
      <c r="SR58" s="90">
        <f t="shared" si="303"/>
        <v>4.3782131994058133</v>
      </c>
      <c r="SS58" s="90">
        <f t="shared" si="304"/>
        <v>4.619997165</v>
      </c>
      <c r="ST58" s="90">
        <f t="shared" si="305"/>
        <v>6536.3090000000002</v>
      </c>
      <c r="SU58" s="90">
        <v>4.3803501807613241</v>
      </c>
      <c r="SV58" s="90">
        <f t="shared" si="306"/>
        <v>4.62</v>
      </c>
      <c r="SW58" s="90">
        <v>4.62</v>
      </c>
      <c r="SX58" s="90">
        <f t="shared" si="307"/>
        <v>6531.29</v>
      </c>
      <c r="SY58" s="90">
        <v>4.3804352449138717</v>
      </c>
      <c r="SZ58" s="90">
        <f t="shared" si="308"/>
        <v>6192.6213057347404</v>
      </c>
      <c r="TA58" s="90">
        <f t="shared" si="309"/>
        <v>3.1413057347417634</v>
      </c>
      <c r="TB58" s="90">
        <v>0</v>
      </c>
      <c r="TC58" s="90">
        <f t="shared" si="310"/>
        <v>6405.3455750000039</v>
      </c>
      <c r="TD58" s="90" t="e">
        <f>#REF!+#REF!</f>
        <v>#REF!</v>
      </c>
      <c r="TE58" s="90" t="e">
        <f t="shared" si="311"/>
        <v>#REF!</v>
      </c>
      <c r="TF58" s="90">
        <v>6204.6879916666721</v>
      </c>
      <c r="TG58" s="90">
        <f t="shared" si="312"/>
        <v>31.118878170796471</v>
      </c>
      <c r="TH58" s="95"/>
      <c r="TI58" s="95"/>
      <c r="TJ58" s="95"/>
      <c r="TK58" s="95"/>
      <c r="TL58" s="95">
        <v>0.55000000000000004</v>
      </c>
      <c r="TM58" s="95">
        <f t="shared" si="313"/>
        <v>777.53500000000008</v>
      </c>
      <c r="TN58" s="95">
        <f t="shared" si="314"/>
        <v>21361.007000000001</v>
      </c>
      <c r="TO58" s="95">
        <f t="shared" si="315"/>
        <v>29.986159243335315</v>
      </c>
      <c r="TP58" s="95"/>
      <c r="TQ58" s="95">
        <f t="shared" si="316"/>
        <v>15.110000000000001</v>
      </c>
      <c r="TR58" s="95"/>
      <c r="TS58" s="95"/>
      <c r="TT58" s="95"/>
      <c r="TU58" s="95"/>
      <c r="TV58" s="95"/>
      <c r="TW58" s="95"/>
      <c r="TX58" s="95"/>
      <c r="TY58" s="95"/>
      <c r="TZ58" s="95">
        <f t="shared" si="317"/>
        <v>3.0459960291197885</v>
      </c>
      <c r="UA58" s="95">
        <f t="shared" si="318"/>
        <v>0.6648400000000001</v>
      </c>
      <c r="UB58" s="90">
        <v>0</v>
      </c>
      <c r="UC58" s="90">
        <f t="shared" si="319"/>
        <v>0</v>
      </c>
      <c r="UD58" s="90">
        <f t="shared" si="320"/>
        <v>0</v>
      </c>
      <c r="UE58" s="90">
        <f t="shared" si="321"/>
        <v>0</v>
      </c>
      <c r="UF58" s="90">
        <f t="shared" si="322"/>
        <v>20583.472000000002</v>
      </c>
      <c r="UG58" s="91">
        <f t="shared" si="323"/>
        <v>0</v>
      </c>
      <c r="UH58" s="95">
        <f t="shared" si="324"/>
        <v>31.118878170796471</v>
      </c>
      <c r="UI58" s="95">
        <f t="shared" si="325"/>
        <v>21361.007000000001</v>
      </c>
      <c r="UJ58" s="101">
        <f t="shared" si="326"/>
        <v>0</v>
      </c>
      <c r="UK58" s="101">
        <f t="shared" si="327"/>
        <v>29.986159243335315</v>
      </c>
      <c r="UL58" s="90" t="e">
        <f>(#REF!+#REF!+HZ58+LT58+LZ58+MF58+ML58+QL58+QN58+SN58+TC58+TM58+UC58)/I58</f>
        <v>#REF!</v>
      </c>
      <c r="UN58" s="90" t="e">
        <f>#REF!/I58</f>
        <v>#REF!</v>
      </c>
      <c r="UO58" s="90" t="e">
        <f>#REF!/I58</f>
        <v>#REF!</v>
      </c>
      <c r="UP58" s="90">
        <v>1.1499999999999999</v>
      </c>
      <c r="UQ58" s="90" t="e">
        <f t="shared" si="328"/>
        <v>#REF!</v>
      </c>
      <c r="UR58" s="90">
        <f t="shared" si="329"/>
        <v>16623.644992160502</v>
      </c>
      <c r="US58" s="90">
        <f t="shared" si="330"/>
        <v>19955.61</v>
      </c>
      <c r="UT58" s="90">
        <f t="shared" si="331"/>
        <v>19955.61</v>
      </c>
      <c r="UU58" s="90">
        <f>BK58+HA58+IL58+LL58+LW58+MC58+MI58+MO58+MZ58+NG58+NO58+NV58+OA58+PR58+QE58</f>
        <v>20385.96</v>
      </c>
      <c r="UV58" s="90">
        <f t="shared" si="333"/>
        <v>20385.96</v>
      </c>
      <c r="UW58" s="90">
        <f t="shared" si="334"/>
        <v>7.05</v>
      </c>
      <c r="UX58" s="90">
        <f t="shared" si="335"/>
        <v>4.62</v>
      </c>
      <c r="UY58" s="90">
        <f t="shared" si="336"/>
        <v>4.4333663436372639</v>
      </c>
      <c r="UZ58" s="100">
        <f t="shared" si="337"/>
        <v>4.3804113392182735</v>
      </c>
      <c r="VA58" s="90">
        <f t="shared" si="338"/>
        <v>0.57999999999999996</v>
      </c>
      <c r="VB58" s="90">
        <f t="shared" si="339"/>
        <v>1.05</v>
      </c>
      <c r="VC58" s="90">
        <f t="shared" si="340"/>
        <v>0.8</v>
      </c>
      <c r="VD58" s="90">
        <f t="shared" si="341"/>
        <v>0</v>
      </c>
      <c r="VE58" s="90">
        <f t="shared" si="342"/>
        <v>0</v>
      </c>
      <c r="VF58" s="90">
        <f t="shared" si="343"/>
        <v>0</v>
      </c>
      <c r="VG58" s="90">
        <f t="shared" si="344"/>
        <v>0</v>
      </c>
      <c r="VH58" s="90">
        <f t="shared" si="345"/>
        <v>0</v>
      </c>
      <c r="VI58" s="90">
        <f t="shared" si="346"/>
        <v>0</v>
      </c>
      <c r="VJ58" s="90">
        <f t="shared" si="347"/>
        <v>0</v>
      </c>
      <c r="VK58" s="90">
        <f t="shared" si="348"/>
        <v>1.3</v>
      </c>
      <c r="VL58" s="90">
        <f t="shared" si="349"/>
        <v>4.09</v>
      </c>
      <c r="VM58" s="90">
        <f t="shared" si="350"/>
        <v>4.1399999999999997</v>
      </c>
      <c r="VN58" s="90">
        <f t="shared" si="351"/>
        <v>0</v>
      </c>
      <c r="VO58" s="90">
        <f t="shared" si="352"/>
        <v>4.1399999999999997</v>
      </c>
      <c r="VP58" s="97">
        <v>0</v>
      </c>
      <c r="VQ58" s="97">
        <v>4.4000000000000004</v>
      </c>
      <c r="VR58" s="90">
        <f t="shared" si="353"/>
        <v>0.46</v>
      </c>
      <c r="VS58" s="90">
        <f t="shared" si="354"/>
        <v>0.16</v>
      </c>
      <c r="VT58" s="90">
        <v>0.11989898989898991</v>
      </c>
      <c r="VU58" s="90">
        <f t="shared" si="355"/>
        <v>0.159</v>
      </c>
      <c r="VV58" s="90">
        <v>0.38175323599898991</v>
      </c>
      <c r="VW58" s="90">
        <f t="shared" si="356"/>
        <v>0.62</v>
      </c>
      <c r="VX58" s="90">
        <f t="shared" si="357"/>
        <v>15.9</v>
      </c>
      <c r="VY58" s="90">
        <f t="shared" si="358"/>
        <v>15.9</v>
      </c>
      <c r="VZ58" s="90">
        <f t="shared" si="359"/>
        <v>0</v>
      </c>
      <c r="WA58" s="90"/>
      <c r="WB58" s="90">
        <f t="shared" si="360"/>
        <v>15.9</v>
      </c>
      <c r="WC58" s="90">
        <f t="shared" si="361"/>
        <v>0</v>
      </c>
      <c r="WD58" s="90"/>
      <c r="WE58" s="90">
        <v>15.91</v>
      </c>
      <c r="WF58" s="90"/>
      <c r="WG58" s="90">
        <f t="shared" si="362"/>
        <v>22477.83</v>
      </c>
      <c r="WH58" s="90">
        <f t="shared" si="363"/>
        <v>21346.87</v>
      </c>
      <c r="WI58" s="90">
        <f t="shared" si="364"/>
        <v>21347.094992160502</v>
      </c>
      <c r="WJ58" s="90">
        <f t="shared" si="365"/>
        <v>16623.644992160502</v>
      </c>
      <c r="WK58" s="97">
        <v>6207.08</v>
      </c>
      <c r="WL58" s="97">
        <v>4.4000000000000004</v>
      </c>
      <c r="WM58" s="90">
        <f t="shared" si="366"/>
        <v>6220.28</v>
      </c>
      <c r="WN58" s="90">
        <f t="shared" si="367"/>
        <v>4.4000000000000004</v>
      </c>
      <c r="WO58" s="90"/>
      <c r="WP58" s="97">
        <v>15.91</v>
      </c>
      <c r="WQ58" s="90">
        <f t="shared" si="368"/>
        <v>15.9</v>
      </c>
      <c r="WR58" s="91">
        <f t="shared" si="369"/>
        <v>105.22832561217737</v>
      </c>
      <c r="WS58" s="91">
        <f t="shared" si="370"/>
        <v>105.22832561217737</v>
      </c>
      <c r="WT58" s="90">
        <f t="shared" si="371"/>
        <v>22491.97</v>
      </c>
      <c r="WU58" s="90">
        <f t="shared" si="372"/>
        <v>22478.054992160502</v>
      </c>
      <c r="WV58" s="90">
        <f t="shared" si="373"/>
        <v>13.915007839499594</v>
      </c>
      <c r="WW58" s="90"/>
      <c r="WX58" s="90"/>
      <c r="WY58" s="90"/>
      <c r="WZ58" s="90">
        <f t="shared" si="374"/>
        <v>4.1607898989898979</v>
      </c>
      <c r="XA58" s="90">
        <v>0</v>
      </c>
      <c r="XB58" s="90">
        <f t="shared" si="375"/>
        <v>4.1607898989898979</v>
      </c>
      <c r="XC58" s="90">
        <f t="shared" si="376"/>
        <v>0.47819999999999996</v>
      </c>
      <c r="XD58" s="90">
        <f t="shared" si="377"/>
        <v>0.16101010101010099</v>
      </c>
      <c r="XE58" s="90"/>
      <c r="XF58" s="90">
        <f t="shared" si="378"/>
        <v>15.94</v>
      </c>
      <c r="XG58" s="90">
        <v>4.3983043819853069</v>
      </c>
      <c r="XH58" s="20">
        <v>14.56</v>
      </c>
      <c r="XI58" s="20">
        <v>0</v>
      </c>
      <c r="XJ58" s="20"/>
      <c r="XK58" s="20"/>
      <c r="XL58" s="20">
        <v>0.55000000000000004</v>
      </c>
      <c r="XM58" s="20">
        <f t="shared" si="620"/>
        <v>15.110000000000001</v>
      </c>
      <c r="XN58" s="91">
        <f t="shared" si="380"/>
        <v>105.22832561217737</v>
      </c>
      <c r="XO58" s="20">
        <f t="shared" si="381"/>
        <v>15.110000000000001</v>
      </c>
      <c r="XP58" s="90">
        <f t="shared" si="621"/>
        <v>15.110000000000001</v>
      </c>
      <c r="XQ58" s="91">
        <f t="shared" si="383"/>
        <v>105.22832561217737</v>
      </c>
      <c r="XR58" s="102"/>
      <c r="XS58" s="90">
        <f t="shared" si="384"/>
        <v>4.09</v>
      </c>
      <c r="XT58" s="90">
        <f t="shared" si="385"/>
        <v>7.05</v>
      </c>
      <c r="XU58" s="90">
        <f t="shared" si="386"/>
        <v>4.62</v>
      </c>
      <c r="XV58" s="90">
        <f t="shared" si="387"/>
        <v>1.38</v>
      </c>
      <c r="XW58" s="90">
        <f t="shared" si="388"/>
        <v>0.57999999999999996</v>
      </c>
      <c r="XX58" s="90">
        <f t="shared" si="389"/>
        <v>0.8</v>
      </c>
      <c r="XY58" s="90">
        <f t="shared" si="390"/>
        <v>1.05</v>
      </c>
      <c r="XZ58" s="90">
        <f t="shared" si="391"/>
        <v>0</v>
      </c>
      <c r="YA58" s="90">
        <f t="shared" si="392"/>
        <v>0</v>
      </c>
      <c r="YB58" s="90">
        <f t="shared" si="552"/>
        <v>0</v>
      </c>
      <c r="YC58" s="90">
        <f t="shared" si="552"/>
        <v>0</v>
      </c>
      <c r="YD58" s="90">
        <f t="shared" si="394"/>
        <v>1.05</v>
      </c>
      <c r="YE58" s="90">
        <f t="shared" si="395"/>
        <v>4.1399999999999997</v>
      </c>
      <c r="YF58" s="90">
        <f t="shared" si="396"/>
        <v>0.62</v>
      </c>
      <c r="YG58" s="90">
        <f t="shared" si="397"/>
        <v>15.9</v>
      </c>
      <c r="YI58" s="103" t="s">
        <v>507</v>
      </c>
      <c r="YK58" s="90">
        <f t="shared" si="398"/>
        <v>1.07</v>
      </c>
      <c r="YL58" s="90">
        <f t="shared" si="553"/>
        <v>0.57999999999999996</v>
      </c>
      <c r="YM58" s="90">
        <f t="shared" si="553"/>
        <v>1.05</v>
      </c>
      <c r="YN58" s="90">
        <f t="shared" si="400"/>
        <v>4.09</v>
      </c>
      <c r="YO58" s="90">
        <f t="shared" si="401"/>
        <v>9.1099999999999977</v>
      </c>
      <c r="YP58" s="90">
        <f t="shared" si="402"/>
        <v>0</v>
      </c>
      <c r="YQ58" s="90">
        <f t="shared" si="403"/>
        <v>15.9</v>
      </c>
      <c r="YR58" s="90">
        <f t="shared" si="404"/>
        <v>0</v>
      </c>
      <c r="YS58" s="104">
        <f t="shared" si="405"/>
        <v>15.899999999999999</v>
      </c>
      <c r="YT58" s="104">
        <f t="shared" si="406"/>
        <v>0</v>
      </c>
      <c r="YY58" s="90">
        <f t="shared" si="407"/>
        <v>8.6800000000000015</v>
      </c>
      <c r="YZ58" s="90">
        <f t="shared" si="408"/>
        <v>4.9800000000000004</v>
      </c>
      <c r="ZA58" s="90">
        <f t="shared" si="409"/>
        <v>0.61</v>
      </c>
      <c r="ZB58" s="90">
        <f t="shared" si="410"/>
        <v>2.29</v>
      </c>
      <c r="ZC58" s="90">
        <f t="shared" si="411"/>
        <v>0.8</v>
      </c>
      <c r="ZD58" s="90">
        <f t="shared" si="412"/>
        <v>0</v>
      </c>
      <c r="ZE58" s="90">
        <f t="shared" si="413"/>
        <v>0</v>
      </c>
      <c r="ZF58" s="90">
        <f t="shared" si="414"/>
        <v>0</v>
      </c>
      <c r="ZG58" s="90">
        <f t="shared" si="415"/>
        <v>0</v>
      </c>
      <c r="ZH58" s="90">
        <f t="shared" si="416"/>
        <v>0</v>
      </c>
      <c r="ZI58" s="90">
        <f t="shared" si="417"/>
        <v>0</v>
      </c>
      <c r="ZJ58" s="90">
        <f t="shared" si="418"/>
        <v>0</v>
      </c>
      <c r="ZK58" s="90">
        <f t="shared" si="419"/>
        <v>0</v>
      </c>
      <c r="ZL58" s="90">
        <f t="shared" si="420"/>
        <v>0</v>
      </c>
      <c r="ZM58" s="90">
        <f t="shared" si="421"/>
        <v>4.6100000000000003</v>
      </c>
      <c r="ZN58" s="90">
        <f t="shared" si="422"/>
        <v>8.67</v>
      </c>
      <c r="ZO58" s="90">
        <f t="shared" si="423"/>
        <v>5.19</v>
      </c>
      <c r="ZP58" s="90">
        <f t="shared" si="424"/>
        <v>6.38</v>
      </c>
      <c r="ZQ58" s="90">
        <f t="shared" si="425"/>
        <v>0</v>
      </c>
      <c r="ZR58" s="90">
        <f t="shared" si="426"/>
        <v>6.38</v>
      </c>
      <c r="ZS58" s="97">
        <v>227</v>
      </c>
      <c r="ZT58" s="97">
        <v>230.38</v>
      </c>
      <c r="ZU58" s="90">
        <f t="shared" si="427"/>
        <v>0.61</v>
      </c>
      <c r="ZV58" s="90">
        <f t="shared" si="428"/>
        <v>0.21</v>
      </c>
      <c r="ZW58" s="90">
        <v>0.11989898989898991</v>
      </c>
      <c r="ZX58" s="90">
        <f t="shared" si="429"/>
        <v>0.20490000000000003</v>
      </c>
      <c r="ZY58" s="90">
        <v>0.38175323599898991</v>
      </c>
      <c r="ZZ58" s="90">
        <f t="shared" si="430"/>
        <v>0.82</v>
      </c>
      <c r="AAA58" s="90">
        <f t="shared" si="431"/>
        <v>20.490000000000002</v>
      </c>
      <c r="AAB58" s="90">
        <f t="shared" si="432"/>
        <v>20.490000000000002</v>
      </c>
      <c r="AAC58" s="90">
        <f t="shared" si="433"/>
        <v>0</v>
      </c>
      <c r="AAD58" s="90"/>
      <c r="AAE58" s="90">
        <f t="shared" si="434"/>
        <v>20.490000000000002</v>
      </c>
      <c r="AAF58" s="90">
        <v>15.91</v>
      </c>
      <c r="AAG58" s="90">
        <f t="shared" si="435"/>
        <v>128.8679245283019</v>
      </c>
      <c r="AAH58" s="90">
        <f t="shared" si="436"/>
        <v>0</v>
      </c>
      <c r="AAI58" s="90">
        <v>0</v>
      </c>
      <c r="AAJ58" s="90"/>
      <c r="AAK58" s="1">
        <v>17.64</v>
      </c>
      <c r="AAL58" s="104">
        <f t="shared" si="437"/>
        <v>2.8500000000000014</v>
      </c>
      <c r="AAM58" s="103" t="s">
        <v>545</v>
      </c>
      <c r="AAN58" s="105">
        <v>8.41</v>
      </c>
      <c r="AAO58" s="90">
        <f t="shared" si="438"/>
        <v>9.4500000000000028</v>
      </c>
      <c r="AAP58" s="90">
        <v>4.97</v>
      </c>
      <c r="AAQ58" s="90">
        <f t="shared" si="439"/>
        <v>4.9800000000000004</v>
      </c>
      <c r="AAR58" s="90">
        <v>0.61</v>
      </c>
      <c r="AAS58" s="90">
        <f t="shared" si="440"/>
        <v>0.92</v>
      </c>
      <c r="AAT58" s="90">
        <f t="shared" si="441"/>
        <v>150.81967213114754</v>
      </c>
      <c r="AAU58" s="90">
        <v>2.0299999999999998</v>
      </c>
      <c r="AAV58" s="90">
        <f t="shared" si="442"/>
        <v>2.29</v>
      </c>
      <c r="AAW58" s="90">
        <f t="shared" si="443"/>
        <v>112.80788177339902</v>
      </c>
      <c r="AAX58" s="90">
        <f t="shared" si="444"/>
        <v>0.46</v>
      </c>
      <c r="AAY58" s="90">
        <f t="shared" si="445"/>
        <v>0.8</v>
      </c>
      <c r="AAZ58" s="90">
        <f t="shared" si="446"/>
        <v>0</v>
      </c>
      <c r="ABA58" s="90">
        <f t="shared" si="447"/>
        <v>0</v>
      </c>
      <c r="ABB58" s="90">
        <f t="shared" si="448"/>
        <v>0</v>
      </c>
      <c r="ABC58" s="90">
        <v>0</v>
      </c>
      <c r="ABD58" s="90">
        <f t="shared" si="449"/>
        <v>0</v>
      </c>
      <c r="ABE58" s="90"/>
      <c r="ABF58" s="90">
        <v>0</v>
      </c>
      <c r="ABG58" s="90">
        <f t="shared" si="450"/>
        <v>0</v>
      </c>
      <c r="ABH58" s="90"/>
      <c r="ABI58" s="90">
        <f t="shared" si="451"/>
        <v>0</v>
      </c>
      <c r="ABJ58" s="90">
        <f t="shared" si="452"/>
        <v>0</v>
      </c>
      <c r="ABK58" s="90">
        <v>0</v>
      </c>
      <c r="ABL58" s="90">
        <f t="shared" si="453"/>
        <v>0</v>
      </c>
      <c r="ABM58" s="90">
        <f t="shared" si="454"/>
        <v>0</v>
      </c>
      <c r="ABN58" s="90">
        <f t="shared" si="455"/>
        <v>0</v>
      </c>
      <c r="ABO58" s="90">
        <v>4.3899999999999997</v>
      </c>
      <c r="ABP58" s="90">
        <f t="shared" si="456"/>
        <v>4.6100000000000003</v>
      </c>
      <c r="ABQ58" s="90">
        <f t="shared" si="457"/>
        <v>105.01138952164011</v>
      </c>
      <c r="ABR58" s="90">
        <f t="shared" si="458"/>
        <v>8.67</v>
      </c>
      <c r="ABS58" s="90">
        <f t="shared" si="459"/>
        <v>5.19</v>
      </c>
      <c r="ABT58" s="90">
        <v>4.1500000000000004</v>
      </c>
      <c r="ABU58" s="90">
        <f t="shared" si="460"/>
        <v>6.38</v>
      </c>
      <c r="ABV58" s="90">
        <f t="shared" si="461"/>
        <v>153.73493975903614</v>
      </c>
      <c r="ABW58" s="90">
        <f t="shared" si="462"/>
        <v>0</v>
      </c>
      <c r="ABX58" s="90">
        <f t="shared" si="463"/>
        <v>6.38</v>
      </c>
      <c r="ABY58" s="97">
        <v>227</v>
      </c>
      <c r="ABZ58" s="97">
        <v>230.38</v>
      </c>
      <c r="ACA58" s="90">
        <f t="shared" si="464"/>
        <v>0.61</v>
      </c>
      <c r="ACB58" s="90">
        <f t="shared" si="465"/>
        <v>0.21</v>
      </c>
      <c r="ACC58" s="90">
        <v>0.11989898989898991</v>
      </c>
      <c r="ACD58" s="90">
        <f t="shared" si="466"/>
        <v>0.20800000000000002</v>
      </c>
      <c r="ACE58" s="90">
        <v>0.38175323599898991</v>
      </c>
      <c r="ACF58" s="90">
        <v>0.69</v>
      </c>
      <c r="ACG58" s="90">
        <f t="shared" si="467"/>
        <v>0.82</v>
      </c>
      <c r="ACH58" s="90">
        <f t="shared" si="468"/>
        <v>118.84057971014492</v>
      </c>
      <c r="ACI58" s="90">
        <f t="shared" si="469"/>
        <v>21.26</v>
      </c>
      <c r="ACJ58" s="90">
        <f t="shared" si="470"/>
        <v>20.8</v>
      </c>
      <c r="ACK58" s="90">
        <f t="shared" si="471"/>
        <v>-0.46000000000000085</v>
      </c>
      <c r="ACL58" s="90"/>
      <c r="ACM58" s="90">
        <f t="shared" si="472"/>
        <v>21.26</v>
      </c>
      <c r="ACN58" s="90">
        <f t="shared" si="473"/>
        <v>0</v>
      </c>
      <c r="ACO58" s="90">
        <f t="shared" si="474"/>
        <v>21.26</v>
      </c>
      <c r="ACP58" s="90">
        <v>17.640000000000004</v>
      </c>
      <c r="ACQ58" s="90">
        <f t="shared" si="475"/>
        <v>120.52154195011336</v>
      </c>
      <c r="ACR58" s="90">
        <f t="shared" si="476"/>
        <v>0</v>
      </c>
      <c r="ACS58" s="90">
        <v>0</v>
      </c>
      <c r="ACT58" s="90"/>
      <c r="ACU58" s="90">
        <f t="shared" si="477"/>
        <v>18.539640000000002</v>
      </c>
      <c r="ACV58" s="90">
        <f t="shared" si="478"/>
        <v>-2.7203599999999994</v>
      </c>
      <c r="ACX58" s="106" t="s">
        <v>567</v>
      </c>
      <c r="ACY58" s="107">
        <f>8000+12500</f>
        <v>20500</v>
      </c>
      <c r="ACZ58" s="107"/>
      <c r="ADB58" s="90">
        <f t="shared" si="479"/>
        <v>4.6100000000000003</v>
      </c>
      <c r="ADC58" s="90">
        <f t="shared" si="480"/>
        <v>8.990000000000002</v>
      </c>
      <c r="ADD58" s="90">
        <f t="shared" si="481"/>
        <v>4.9800000000000004</v>
      </c>
      <c r="ADE58" s="90">
        <f>ADF58+ADH58</f>
        <v>1.7200000000000002</v>
      </c>
      <c r="ADF58" s="90">
        <f t="shared" si="483"/>
        <v>0.92</v>
      </c>
      <c r="ADG58" s="90">
        <f t="shared" si="554"/>
        <v>0.46</v>
      </c>
      <c r="ADH58" s="90">
        <f t="shared" si="554"/>
        <v>0.8</v>
      </c>
      <c r="ADI58" s="90">
        <f t="shared" si="554"/>
        <v>0</v>
      </c>
      <c r="ADJ58" s="90">
        <f t="shared" si="485"/>
        <v>2.29</v>
      </c>
      <c r="ADK58" s="90">
        <f t="shared" si="486"/>
        <v>0</v>
      </c>
      <c r="ADL58" s="90">
        <f t="shared" si="487"/>
        <v>0</v>
      </c>
      <c r="ADM58" s="90">
        <f t="shared" si="555"/>
        <v>0</v>
      </c>
      <c r="ADN58" s="90">
        <f t="shared" si="555"/>
        <v>0</v>
      </c>
      <c r="ADO58" s="90">
        <f t="shared" si="489"/>
        <v>2.29</v>
      </c>
      <c r="ADP58" s="90">
        <f t="shared" si="490"/>
        <v>6.38</v>
      </c>
      <c r="ADQ58" s="90">
        <f t="shared" si="491"/>
        <v>0.82</v>
      </c>
      <c r="ADR58" s="90">
        <f t="shared" si="492"/>
        <v>20.8</v>
      </c>
      <c r="ADU58" s="90">
        <f t="shared" si="493"/>
        <v>1.1499999999999999</v>
      </c>
      <c r="ADV58" s="90">
        <f t="shared" si="494"/>
        <v>0.92</v>
      </c>
      <c r="ADW58" s="90">
        <f t="shared" si="495"/>
        <v>2.29</v>
      </c>
      <c r="ADX58" s="90">
        <f t="shared" si="496"/>
        <v>4.6100000000000003</v>
      </c>
      <c r="ADY58" s="90">
        <f t="shared" si="497"/>
        <v>11.830000000000002</v>
      </c>
      <c r="ADZ58" s="90">
        <f t="shared" si="498"/>
        <v>0</v>
      </c>
      <c r="AEA58" s="90">
        <f t="shared" si="499"/>
        <v>21.26</v>
      </c>
      <c r="AEB58" s="90">
        <f t="shared" si="500"/>
        <v>0</v>
      </c>
      <c r="AEC58" s="104">
        <f t="shared" si="501"/>
        <v>20.8</v>
      </c>
      <c r="AED58" s="104">
        <f t="shared" si="502"/>
        <v>0.46000000000000085</v>
      </c>
      <c r="AEG58" s="1">
        <v>8.41</v>
      </c>
      <c r="AEH58" s="1">
        <v>4.97</v>
      </c>
      <c r="AEI58" s="1">
        <v>0.61</v>
      </c>
      <c r="AEJ58" s="1">
        <v>2.0299999999999998</v>
      </c>
      <c r="AEK58" s="1">
        <v>0</v>
      </c>
      <c r="AEL58" s="1">
        <v>0.8</v>
      </c>
      <c r="AEM58" s="1">
        <v>0</v>
      </c>
      <c r="AEN58" s="1">
        <v>0</v>
      </c>
      <c r="AEO58" s="1">
        <v>0</v>
      </c>
      <c r="AEP58" s="1">
        <v>0</v>
      </c>
      <c r="AEQ58" s="1">
        <v>0</v>
      </c>
      <c r="AER58" s="1">
        <v>0</v>
      </c>
      <c r="AES58" s="1">
        <v>0</v>
      </c>
      <c r="AET58" s="1">
        <v>0</v>
      </c>
      <c r="AEU58" s="1">
        <v>0</v>
      </c>
      <c r="AEV58" s="1">
        <v>0</v>
      </c>
      <c r="AEW58" s="1">
        <v>4.3899999999999997</v>
      </c>
      <c r="AEX58" s="1">
        <v>6.18</v>
      </c>
      <c r="AEY58" s="1">
        <v>5.19</v>
      </c>
      <c r="AEZ58" s="1">
        <v>4.1500000000000004</v>
      </c>
      <c r="AFA58" s="1">
        <v>0</v>
      </c>
      <c r="AFB58" s="1">
        <v>4.1500000000000004</v>
      </c>
      <c r="AFC58" s="1">
        <v>227</v>
      </c>
      <c r="AFD58" s="1">
        <v>230.38</v>
      </c>
      <c r="AFE58" s="1">
        <v>0.51</v>
      </c>
      <c r="AFF58" s="1">
        <v>0.18</v>
      </c>
      <c r="AFG58" s="1">
        <v>0.11989898989898991</v>
      </c>
      <c r="AFH58" s="1">
        <v>0.17640000000000006</v>
      </c>
      <c r="AFI58" s="1">
        <v>0.38175323599898991</v>
      </c>
      <c r="AFJ58" s="1">
        <v>0.69</v>
      </c>
      <c r="AFK58" s="1">
        <v>17.640000000000004</v>
      </c>
      <c r="AFL58" s="1">
        <v>17.640000000000004</v>
      </c>
      <c r="AFM58" s="1">
        <v>0</v>
      </c>
      <c r="AFO58" s="1">
        <v>17.640000000000004</v>
      </c>
      <c r="AFP58" s="1">
        <v>0</v>
      </c>
      <c r="AFQ58" s="1">
        <v>17.64</v>
      </c>
      <c r="AFX58" s="1">
        <v>21.37</v>
      </c>
    </row>
    <row r="59" spans="1:856" s="1" customFormat="1" ht="63.75" customHeight="1">
      <c r="A59" s="88">
        <v>51</v>
      </c>
      <c r="B59" s="20"/>
      <c r="C59" s="89" t="s">
        <v>568</v>
      </c>
      <c r="D59" s="20"/>
      <c r="E59" s="20" t="s">
        <v>536</v>
      </c>
      <c r="F59" s="20" t="s">
        <v>537</v>
      </c>
      <c r="G59" s="20">
        <v>1.2</v>
      </c>
      <c r="H59" s="20">
        <v>1387</v>
      </c>
      <c r="I59" s="20">
        <f>1387+1.9+1.6-1.9-1.9-1.6+0.1</f>
        <v>1385.1999999999998</v>
      </c>
      <c r="J59" s="20">
        <f t="shared" si="0"/>
        <v>1662.2399999999998</v>
      </c>
      <c r="K59" s="20">
        <v>27</v>
      </c>
      <c r="L59" s="20">
        <v>45</v>
      </c>
      <c r="M59" s="20">
        <v>57</v>
      </c>
      <c r="N59" s="20">
        <v>1405.81</v>
      </c>
      <c r="O59" s="90">
        <f t="shared" si="1"/>
        <v>1.01</v>
      </c>
      <c r="P59" s="20">
        <v>5184</v>
      </c>
      <c r="Q59" s="90">
        <f t="shared" si="613"/>
        <v>432</v>
      </c>
      <c r="R59" s="90">
        <f t="shared" si="2"/>
        <v>0.31</v>
      </c>
      <c r="S59" s="20">
        <v>123.2</v>
      </c>
      <c r="T59" s="20">
        <v>2.6</v>
      </c>
      <c r="U59" s="20">
        <v>3.13</v>
      </c>
      <c r="V59" s="91">
        <f t="shared" si="3"/>
        <v>1002.6</v>
      </c>
      <c r="W59" s="20">
        <v>2.1000000000000001E-2</v>
      </c>
      <c r="X59" s="20">
        <f t="shared" si="4"/>
        <v>33.42</v>
      </c>
      <c r="Y59" s="91">
        <f t="shared" si="5"/>
        <v>86.46</v>
      </c>
      <c r="Z59" s="20">
        <v>1.7999999999999999E-2</v>
      </c>
      <c r="AA59" s="20">
        <f t="shared" si="561"/>
        <v>171.12</v>
      </c>
      <c r="AB59" s="91">
        <f t="shared" si="562"/>
        <v>379.48</v>
      </c>
      <c r="AC59" s="91">
        <f t="shared" si="6"/>
        <v>1468.54</v>
      </c>
      <c r="AD59" s="90">
        <f t="shared" si="7"/>
        <v>1.06</v>
      </c>
      <c r="AE59" s="92">
        <f t="shared" si="8"/>
        <v>17622.48</v>
      </c>
      <c r="AF59" s="20">
        <v>64</v>
      </c>
      <c r="AG59" s="20">
        <v>54</v>
      </c>
      <c r="AH59" s="20">
        <v>54</v>
      </c>
      <c r="AI59" s="20">
        <v>54</v>
      </c>
      <c r="AJ59" s="20">
        <v>1.6</v>
      </c>
      <c r="AK59" s="90">
        <f t="shared" si="9"/>
        <v>7.2</v>
      </c>
      <c r="AL59" s="90">
        <v>391.01</v>
      </c>
      <c r="AM59" s="90">
        <f t="shared" si="10"/>
        <v>2815.27</v>
      </c>
      <c r="AN59" s="20">
        <v>64</v>
      </c>
      <c r="AO59" s="20">
        <v>56</v>
      </c>
      <c r="AP59" s="20">
        <v>64</v>
      </c>
      <c r="AQ59" s="20">
        <v>64</v>
      </c>
      <c r="AR59" s="20">
        <v>56</v>
      </c>
      <c r="AS59" s="20">
        <v>64</v>
      </c>
      <c r="AT59" s="20">
        <f t="shared" si="11"/>
        <v>10</v>
      </c>
      <c r="AU59" s="20">
        <v>1.6</v>
      </c>
      <c r="AV59" s="90">
        <f t="shared" si="12"/>
        <v>8.5299999999999994</v>
      </c>
      <c r="AW59" s="90">
        <f>ROUND((179.74*6+181.82*6)/12,2)</f>
        <v>180.78</v>
      </c>
      <c r="AX59" s="90">
        <v>1542.66</v>
      </c>
      <c r="AY59" s="90">
        <f t="shared" si="14"/>
        <v>1.1100000000000001</v>
      </c>
      <c r="AZ59" s="90">
        <f t="shared" si="15"/>
        <v>3336.62</v>
      </c>
      <c r="BA59" s="108">
        <f t="shared" si="16"/>
        <v>-1793.9599999999998</v>
      </c>
      <c r="BB59" s="108">
        <v>1542.66</v>
      </c>
      <c r="BC59" s="108">
        <v>1.1100000000000001</v>
      </c>
      <c r="BD59" s="92">
        <f t="shared" si="17"/>
        <v>18511.920000000002</v>
      </c>
      <c r="BE59" s="90"/>
      <c r="BF59" s="90">
        <f t="shared" si="18"/>
        <v>0</v>
      </c>
      <c r="BG59" s="90">
        <v>391.01</v>
      </c>
      <c r="BH59" s="90">
        <f t="shared" si="19"/>
        <v>3335.32</v>
      </c>
      <c r="BI59" s="90">
        <f t="shared" si="20"/>
        <v>2.41</v>
      </c>
      <c r="BJ59" s="90">
        <f t="shared" si="21"/>
        <v>217.11711711711712</v>
      </c>
      <c r="BK59" s="90">
        <f t="shared" si="22"/>
        <v>3335.32</v>
      </c>
      <c r="BL59" s="90">
        <f t="shared" si="23"/>
        <v>2.41</v>
      </c>
      <c r="BM59" s="90"/>
      <c r="BN59" s="90">
        <f t="shared" si="24"/>
        <v>0</v>
      </c>
      <c r="BO59" s="90">
        <f t="shared" si="25"/>
        <v>3335.32</v>
      </c>
      <c r="BP59" s="90">
        <f t="shared" si="26"/>
        <v>2.4078255847531045</v>
      </c>
      <c r="BQ59" s="90"/>
      <c r="BR59" s="90">
        <f t="shared" si="27"/>
        <v>0</v>
      </c>
      <c r="BS59" s="90">
        <f t="shared" si="28"/>
        <v>3335.32</v>
      </c>
      <c r="BT59" s="90">
        <f t="shared" si="29"/>
        <v>2.4078255847531045</v>
      </c>
      <c r="BU59" s="90"/>
      <c r="BV59" s="93">
        <v>1.7027650000000001</v>
      </c>
      <c r="BW59" s="90">
        <f t="shared" si="30"/>
        <v>2358.6700779999996</v>
      </c>
      <c r="BX59" s="90">
        <f t="shared" si="31"/>
        <v>2500.1902826799997</v>
      </c>
      <c r="BY59" s="90"/>
      <c r="BZ59" s="90">
        <v>3239.2925903</v>
      </c>
      <c r="CA59" s="90">
        <v>0.37305430897000003</v>
      </c>
      <c r="CB59" s="90">
        <f t="shared" si="556"/>
        <v>516.75482878524394</v>
      </c>
      <c r="CC59" s="90">
        <v>0.37305430897000003</v>
      </c>
      <c r="CD59" s="90">
        <f t="shared" si="563"/>
        <v>516.75482878524394</v>
      </c>
      <c r="CE59" s="90">
        <f t="shared" si="564"/>
        <v>516.75482878524394</v>
      </c>
      <c r="CF59" s="90">
        <v>503.07440502942052</v>
      </c>
      <c r="CG59" s="90">
        <f>I59*0.3617939</f>
        <v>501.15691027999992</v>
      </c>
      <c r="CH59" s="90">
        <f t="shared" si="565"/>
        <v>501.16</v>
      </c>
      <c r="CI59" s="90">
        <f>I59*0.381069081</f>
        <v>527.85689100119987</v>
      </c>
      <c r="CJ59" s="90">
        <f t="shared" si="36"/>
        <v>528.72</v>
      </c>
      <c r="CK59" s="90">
        <f t="shared" si="37"/>
        <v>569.49133510261368</v>
      </c>
      <c r="CL59" s="90">
        <f t="shared" si="38"/>
        <v>569.49133510261368</v>
      </c>
      <c r="CM59" s="94">
        <v>0.14899999999999999</v>
      </c>
      <c r="CN59" s="90">
        <f t="shared" si="39"/>
        <v>351.44184162199991</v>
      </c>
      <c r="CO59" s="90">
        <f t="shared" si="40"/>
        <v>372.52835211931995</v>
      </c>
      <c r="CP59" s="90">
        <v>482.65519499999999</v>
      </c>
      <c r="CQ59" s="90">
        <v>5.0232736819999999E-2</v>
      </c>
      <c r="CR59" s="90">
        <f t="shared" si="557"/>
        <v>69.582387043063989</v>
      </c>
      <c r="CS59" s="90">
        <v>5.0232736819999999E-2</v>
      </c>
      <c r="CT59" s="90">
        <f t="shared" si="566"/>
        <v>69.582387043063989</v>
      </c>
      <c r="CU59" s="90">
        <f t="shared" si="567"/>
        <v>69.582387043063989</v>
      </c>
      <c r="CV59" s="90">
        <f>I59*0.1037792</f>
        <v>143.75494783999997</v>
      </c>
      <c r="CW59" s="90">
        <f t="shared" si="568"/>
        <v>143.75</v>
      </c>
      <c r="CX59" s="90">
        <f>I59*0.109304896</f>
        <v>151.40914193919997</v>
      </c>
      <c r="CY59" s="90">
        <f t="shared" si="45"/>
        <v>151.66</v>
      </c>
      <c r="CZ59" s="90">
        <f t="shared" si="46"/>
        <v>163.35146108663781</v>
      </c>
      <c r="DA59" s="90">
        <f t="shared" si="47"/>
        <v>163.35146108663781</v>
      </c>
      <c r="DB59" s="93">
        <v>1.1979820000000001</v>
      </c>
      <c r="DC59" s="90">
        <f t="shared" si="48"/>
        <v>1659.4446664</v>
      </c>
      <c r="DD59" s="90">
        <f t="shared" si="49"/>
        <v>1759.011346384</v>
      </c>
      <c r="DE59" s="90"/>
      <c r="DF59" s="90">
        <v>939.78198527829306</v>
      </c>
      <c r="DG59" s="90">
        <v>0.28219173505</v>
      </c>
      <c r="DH59" s="90">
        <f t="shared" si="558"/>
        <v>390.89199139125998</v>
      </c>
      <c r="DI59" s="90">
        <v>0.28219173505</v>
      </c>
      <c r="DJ59" s="90">
        <f t="shared" si="569"/>
        <v>390.89199139125998</v>
      </c>
      <c r="DK59" s="90">
        <f t="shared" si="570"/>
        <v>390.89199139125998</v>
      </c>
      <c r="DL59" s="90">
        <f>I59*0.2284958</f>
        <v>316.51238215999996</v>
      </c>
      <c r="DM59" s="90">
        <f t="shared" si="571"/>
        <v>316.51</v>
      </c>
      <c r="DN59" s="90">
        <f>I59*0.240670006</f>
        <v>333.37609231119995</v>
      </c>
      <c r="DO59" s="90">
        <f t="shared" si="54"/>
        <v>333.92</v>
      </c>
      <c r="DP59" s="90">
        <f t="shared" si="55"/>
        <v>359.67096222139855</v>
      </c>
      <c r="DQ59" s="90">
        <f t="shared" si="56"/>
        <v>359.67096222139855</v>
      </c>
      <c r="DR59" s="93">
        <v>4.2594E-2</v>
      </c>
      <c r="DS59" s="90">
        <f t="shared" si="57"/>
        <v>59.001208799999993</v>
      </c>
      <c r="DT59" s="90">
        <f t="shared" si="58"/>
        <v>62.541281327999997</v>
      </c>
      <c r="DU59" s="90">
        <v>35.545603776500229</v>
      </c>
      <c r="DV59" s="90">
        <v>1.366632888E-2</v>
      </c>
      <c r="DW59" s="90">
        <f t="shared" si="559"/>
        <v>18.930598764575997</v>
      </c>
      <c r="DX59" s="90">
        <v>1.366632888E-2</v>
      </c>
      <c r="DY59" s="90">
        <f t="shared" si="572"/>
        <v>18.930598764575997</v>
      </c>
      <c r="DZ59" s="90">
        <f t="shared" si="573"/>
        <v>18.930598764575997</v>
      </c>
      <c r="EA59" s="90">
        <f t="shared" si="574"/>
        <v>18.93</v>
      </c>
      <c r="EB59" s="90">
        <f>I59*0.014395031</f>
        <v>19.939996941199997</v>
      </c>
      <c r="EC59" s="90">
        <f t="shared" si="63"/>
        <v>19.97</v>
      </c>
      <c r="ED59" s="90">
        <f t="shared" si="64"/>
        <v>21.512754069474116</v>
      </c>
      <c r="EE59" s="90">
        <f t="shared" si="65"/>
        <v>21.512754069474116</v>
      </c>
      <c r="EF59" s="94">
        <v>0.85293354333000004</v>
      </c>
      <c r="EG59" s="90">
        <f t="shared" si="66"/>
        <v>1417.7802530648592</v>
      </c>
      <c r="EH59" s="90">
        <f t="shared" si="67"/>
        <v>1502.8470682487507</v>
      </c>
      <c r="EI59" s="90">
        <v>1215.2006928301751</v>
      </c>
      <c r="EJ59" s="90">
        <v>0.13912706999999999</v>
      </c>
      <c r="EK59" s="90">
        <f>$J59*EJ59</f>
        <v>231.26258083679997</v>
      </c>
      <c r="EL59" s="90">
        <v>0.16695248382</v>
      </c>
      <c r="EM59" s="90">
        <f t="shared" si="575"/>
        <v>231.26258058746396</v>
      </c>
      <c r="EN59" s="90">
        <f t="shared" si="576"/>
        <v>231.26258058746396</v>
      </c>
      <c r="EO59" s="90">
        <f>J59*0.135382</f>
        <v>225.03737567999997</v>
      </c>
      <c r="EP59" s="90">
        <f t="shared" si="577"/>
        <v>225.04</v>
      </c>
      <c r="EQ59" s="90">
        <f>I59*0.171113036</f>
        <v>237.02577746719996</v>
      </c>
      <c r="ER59" s="90">
        <f t="shared" si="72"/>
        <v>237.42</v>
      </c>
      <c r="ES59" s="90">
        <f t="shared" si="73"/>
        <v>255.72106524460219</v>
      </c>
      <c r="ET59" s="90">
        <f t="shared" si="74"/>
        <v>255.72106524460219</v>
      </c>
      <c r="EU59" s="94">
        <v>0.14899999999999999</v>
      </c>
      <c r="EV59" s="90">
        <f t="shared" si="75"/>
        <v>211.249257706664</v>
      </c>
      <c r="EW59" s="90">
        <f t="shared" si="76"/>
        <v>223.92421316906385</v>
      </c>
      <c r="EX59" s="90">
        <v>181.08905827188494</v>
      </c>
      <c r="EY59" s="90">
        <v>2.0730999999999999E-2</v>
      </c>
      <c r="EZ59" s="90">
        <f>$J59*EY59</f>
        <v>34.459897439999992</v>
      </c>
      <c r="FA59" s="90">
        <v>2.4876671749999999E-2</v>
      </c>
      <c r="FB59" s="90">
        <f t="shared" si="578"/>
        <v>34.459165708099995</v>
      </c>
      <c r="FC59" s="90">
        <f t="shared" si="579"/>
        <v>34.459165708099995</v>
      </c>
      <c r="FD59" s="90">
        <f>J59*0.041845</f>
        <v>69.556432799999996</v>
      </c>
      <c r="FE59" s="90">
        <f t="shared" si="580"/>
        <v>69.56</v>
      </c>
      <c r="FF59" s="90">
        <f>I59*0.05288824</f>
        <v>73.26079004799999</v>
      </c>
      <c r="FG59" s="90">
        <f t="shared" si="81"/>
        <v>73.39</v>
      </c>
      <c r="FH59" s="90">
        <f t="shared" si="82"/>
        <v>79.039197643084194</v>
      </c>
      <c r="FI59" s="90">
        <f t="shared" si="83"/>
        <v>79.039197643084194</v>
      </c>
      <c r="FJ59" s="93">
        <v>0.49981642240000002</v>
      </c>
      <c r="FK59" s="90">
        <f t="shared" si="84"/>
        <v>830.81484997017594</v>
      </c>
      <c r="FL59" s="90">
        <f t="shared" si="85"/>
        <v>880.66374096838649</v>
      </c>
      <c r="FM59" s="90">
        <v>670.3304370809135</v>
      </c>
      <c r="FN59" s="90">
        <v>8.9680701000000002E-2</v>
      </c>
      <c r="FO59" s="90">
        <f>$J59*FN59</f>
        <v>149.07084843023998</v>
      </c>
      <c r="FP59" s="90">
        <v>0.10761684168000001</v>
      </c>
      <c r="FQ59" s="90">
        <f t="shared" si="581"/>
        <v>149.070849095136</v>
      </c>
      <c r="FR59" s="90">
        <f t="shared" si="582"/>
        <v>149.070849095136</v>
      </c>
      <c r="FS59" s="90">
        <f>J59*0.069578</f>
        <v>115.65533471999998</v>
      </c>
      <c r="FT59" s="90">
        <f t="shared" si="89"/>
        <v>121.21</v>
      </c>
      <c r="FU59" s="90">
        <f>J59*0.08182</f>
        <v>136.00447679999999</v>
      </c>
      <c r="FV59" s="90">
        <f t="shared" si="583"/>
        <v>136</v>
      </c>
      <c r="FW59" s="90">
        <f>I59*0.103411527</f>
        <v>143.24564720039999</v>
      </c>
      <c r="FX59" s="90">
        <f t="shared" si="91"/>
        <v>143.47999999999999</v>
      </c>
      <c r="FY59" s="90">
        <f t="shared" si="92"/>
        <v>154.54407484775703</v>
      </c>
      <c r="FZ59" s="90">
        <f t="shared" si="93"/>
        <v>154.54407484775703</v>
      </c>
      <c r="GA59" s="94">
        <v>1.352261642E-2</v>
      </c>
      <c r="GB59" s="90">
        <f t="shared" si="94"/>
        <v>22.477833917980796</v>
      </c>
      <c r="GC59" s="90">
        <f t="shared" si="95"/>
        <v>23.826503953059646</v>
      </c>
      <c r="GD59" s="90">
        <v>19.566516916080772</v>
      </c>
      <c r="GE59" s="90">
        <v>2.4269999999999999E-3</v>
      </c>
      <c r="GF59" s="90">
        <f>$J59*GE59</f>
        <v>4.0342564799999989</v>
      </c>
      <c r="GG59" s="90">
        <v>2.9119942899999999E-3</v>
      </c>
      <c r="GH59" s="90">
        <f t="shared" si="584"/>
        <v>4.0336944905079992</v>
      </c>
      <c r="GI59" s="90">
        <f t="shared" si="585"/>
        <v>4.0336944905079992</v>
      </c>
      <c r="GJ59" s="90">
        <f t="shared" si="586"/>
        <v>4.03</v>
      </c>
      <c r="GK59" s="90">
        <f>I59*0.003064552196</f>
        <v>4.245017701899199</v>
      </c>
      <c r="GL59" s="90">
        <f t="shared" si="100"/>
        <v>4.25</v>
      </c>
      <c r="GM59" s="90">
        <f t="shared" si="101"/>
        <v>4.579841316466414</v>
      </c>
      <c r="GN59" s="90">
        <f t="shared" si="102"/>
        <v>4.579841316466414</v>
      </c>
      <c r="GO59" s="90">
        <v>5443.2</v>
      </c>
      <c r="GP59" s="90">
        <f t="shared" si="622"/>
        <v>453.59999999999997</v>
      </c>
      <c r="GQ59" s="90">
        <f t="shared" si="614"/>
        <v>4403.7</v>
      </c>
      <c r="GR59" s="90">
        <f t="shared" si="104"/>
        <v>366.97499999999997</v>
      </c>
      <c r="GS59" s="90">
        <f t="shared" si="105"/>
        <v>820.57499999999993</v>
      </c>
      <c r="GT59" s="90">
        <f t="shared" si="106"/>
        <v>0.59</v>
      </c>
      <c r="GU59" s="90">
        <v>6217.56</v>
      </c>
      <c r="GV59" s="90">
        <f t="shared" si="615"/>
        <v>4179.24</v>
      </c>
      <c r="GW59" s="90">
        <f t="shared" si="107"/>
        <v>866.4</v>
      </c>
      <c r="GX59" s="90">
        <f t="shared" si="108"/>
        <v>0.63</v>
      </c>
      <c r="GY59" s="90">
        <v>11111.58</v>
      </c>
      <c r="GZ59" s="90">
        <f t="shared" si="616"/>
        <v>4449.42</v>
      </c>
      <c r="HA59" s="90">
        <f t="shared" si="109"/>
        <v>1296.75</v>
      </c>
      <c r="HB59" s="90">
        <f t="shared" si="110"/>
        <v>0.94</v>
      </c>
      <c r="HC59" s="90">
        <v>11111.58</v>
      </c>
      <c r="HD59" s="90">
        <f t="shared" si="617"/>
        <v>4449.42</v>
      </c>
      <c r="HE59" s="90">
        <f t="shared" si="111"/>
        <v>1296.75</v>
      </c>
      <c r="HF59" s="90">
        <f t="shared" si="112"/>
        <v>0.94</v>
      </c>
      <c r="HG59" s="90"/>
      <c r="HH59" s="90"/>
      <c r="HI59" s="90">
        <v>0.96</v>
      </c>
      <c r="HJ59" s="90">
        <f t="shared" si="113"/>
        <v>1329.7919999999997</v>
      </c>
      <c r="HK59" s="90">
        <f t="shared" si="114"/>
        <v>1.0099191452497835</v>
      </c>
      <c r="HL59" s="90">
        <f t="shared" si="587"/>
        <v>1398.94</v>
      </c>
      <c r="HM59" s="90">
        <v>1.07</v>
      </c>
      <c r="HN59" s="90">
        <f t="shared" si="116"/>
        <v>1482.164</v>
      </c>
      <c r="HO59" s="90">
        <v>1.1499999999999999</v>
      </c>
      <c r="HP59" s="90">
        <f t="shared" si="117"/>
        <v>1592.98</v>
      </c>
      <c r="HQ59" s="90">
        <v>1.1499999999999999</v>
      </c>
      <c r="HR59" s="90">
        <f t="shared" si="118"/>
        <v>1592.98</v>
      </c>
      <c r="HS59" s="90">
        <v>0.96</v>
      </c>
      <c r="HT59" s="90">
        <f t="shared" si="588"/>
        <v>1329.7919999999997</v>
      </c>
      <c r="HU59" s="90" t="e">
        <f>HT59*#REF!</f>
        <v>#REF!</v>
      </c>
      <c r="HV59" s="90">
        <v>2.83</v>
      </c>
      <c r="HW59" s="20">
        <v>3.49</v>
      </c>
      <c r="HX59" s="90">
        <f t="shared" si="120"/>
        <v>4834.348</v>
      </c>
      <c r="HY59" s="90">
        <v>1.06</v>
      </c>
      <c r="HZ59" s="90">
        <f t="shared" si="121"/>
        <v>5124.40888</v>
      </c>
      <c r="IA59" s="90">
        <f t="shared" si="122"/>
        <v>3.7</v>
      </c>
      <c r="IB59" s="90">
        <f t="shared" si="123"/>
        <v>3.88</v>
      </c>
      <c r="IC59" s="90">
        <f t="shared" si="124"/>
        <v>5374.5759999999991</v>
      </c>
      <c r="ID59" s="90">
        <f t="shared" si="125"/>
        <v>4.09</v>
      </c>
      <c r="IE59" s="90">
        <f t="shared" si="126"/>
        <v>5665.47</v>
      </c>
      <c r="IF59" s="90">
        <f t="shared" si="127"/>
        <v>4.09</v>
      </c>
      <c r="IG59" s="92">
        <f t="shared" si="128"/>
        <v>67985.64</v>
      </c>
      <c r="IH59" s="90">
        <v>4.3899999999999997</v>
      </c>
      <c r="II59" s="90">
        <f t="shared" si="129"/>
        <v>4.6100000000000003</v>
      </c>
      <c r="IJ59" s="90">
        <f t="shared" si="130"/>
        <v>6385.77</v>
      </c>
      <c r="IK59" s="90">
        <f t="shared" si="131"/>
        <v>4.6100000000000003</v>
      </c>
      <c r="IL59" s="90">
        <f t="shared" si="132"/>
        <v>6385.77</v>
      </c>
      <c r="IM59" s="90">
        <f t="shared" si="133"/>
        <v>4.6100000000000003</v>
      </c>
      <c r="IN59" s="90">
        <f t="shared" si="134"/>
        <v>6385.77</v>
      </c>
      <c r="IO59" s="90">
        <f t="shared" si="135"/>
        <v>4.6100000000000003</v>
      </c>
      <c r="IP59" s="93">
        <v>0.37052404126999999</v>
      </c>
      <c r="IQ59" s="90">
        <f t="shared" si="136"/>
        <v>615.89988236064471</v>
      </c>
      <c r="IR59" s="90">
        <f t="shared" si="137"/>
        <v>652.85387530228343</v>
      </c>
      <c r="IS59" s="90">
        <v>18121.54</v>
      </c>
      <c r="IT59" s="90">
        <v>509.05</v>
      </c>
      <c r="IU59" s="90"/>
      <c r="IV59" s="90">
        <v>330.03508531835593</v>
      </c>
      <c r="IW59" s="90">
        <v>1.575999989</v>
      </c>
      <c r="IX59" s="90">
        <f>$J59*IW59</f>
        <v>2619.6902217153597</v>
      </c>
      <c r="IY59" s="90">
        <v>1.89119998663</v>
      </c>
      <c r="IZ59" s="90">
        <f t="shared" si="139"/>
        <v>2619.6902214798756</v>
      </c>
      <c r="JA59" s="90">
        <f t="shared" si="589"/>
        <v>2550.4299999999998</v>
      </c>
      <c r="JB59" s="90">
        <f>I59*1.939298818</f>
        <v>2686.3167226935993</v>
      </c>
      <c r="JC59" s="90">
        <f t="shared" si="141"/>
        <v>2690.7</v>
      </c>
      <c r="JD59" s="90">
        <f t="shared" si="142"/>
        <v>2898.1985894199079</v>
      </c>
      <c r="JE59" s="90">
        <f t="shared" si="143"/>
        <v>2898.1985894199079</v>
      </c>
      <c r="JF59" s="93">
        <v>4.2278943710000003E-2</v>
      </c>
      <c r="JG59" s="90">
        <f t="shared" si="144"/>
        <v>70.277751392510396</v>
      </c>
      <c r="JH59" s="90">
        <f t="shared" si="145"/>
        <v>74.494416476061019</v>
      </c>
      <c r="JI59" s="20">
        <v>101.71</v>
      </c>
      <c r="JJ59" s="90">
        <v>42.001090045327274</v>
      </c>
      <c r="JK59" s="90">
        <v>0.17965928</v>
      </c>
      <c r="JL59" s="90">
        <f>$J59*JK59</f>
        <v>298.63684158719997</v>
      </c>
      <c r="JM59" s="90">
        <v>0.21559114040999999</v>
      </c>
      <c r="JN59" s="90">
        <f t="shared" si="147"/>
        <v>298.63684769593198</v>
      </c>
      <c r="JO59" s="90">
        <f t="shared" si="590"/>
        <v>298.64</v>
      </c>
      <c r="JP59" s="90">
        <f>I59*0.227081036</f>
        <v>314.55265106719997</v>
      </c>
      <c r="JQ59" s="90">
        <f t="shared" si="149"/>
        <v>315.07</v>
      </c>
      <c r="JR59" s="90">
        <f t="shared" si="150"/>
        <v>339.36283161247786</v>
      </c>
      <c r="JS59" s="90">
        <f t="shared" si="151"/>
        <v>339.36283161247786</v>
      </c>
      <c r="JT59" s="93">
        <v>7.3220517000000002E-3</v>
      </c>
      <c r="JU59" s="90">
        <f t="shared" si="152"/>
        <v>12.171007217807999</v>
      </c>
      <c r="JV59" s="90">
        <f t="shared" si="591"/>
        <v>12.17</v>
      </c>
      <c r="JW59" s="90">
        <f>I59*0.009254491</f>
        <v>12.819320933199998</v>
      </c>
      <c r="JX59" s="90">
        <f t="shared" si="154"/>
        <v>12.84</v>
      </c>
      <c r="JY59" s="90">
        <f t="shared" si="155"/>
        <v>13.830438358983846</v>
      </c>
      <c r="JZ59" s="90">
        <f t="shared" si="156"/>
        <v>13.830438358983846</v>
      </c>
      <c r="KA59" s="90">
        <v>7.3220500000000001E-3</v>
      </c>
      <c r="KB59" s="90">
        <f>$J59*KA59</f>
        <v>12.171004391999999</v>
      </c>
      <c r="KC59" s="90" t="e">
        <f>KB59*#REF!</f>
        <v>#REF!</v>
      </c>
      <c r="KD59" s="90">
        <v>17952.740000000002</v>
      </c>
      <c r="KE59" s="90">
        <v>22700.14</v>
      </c>
      <c r="KF59" s="90"/>
      <c r="KG59" s="90">
        <f t="shared" si="550"/>
        <v>1751.5005468803088</v>
      </c>
      <c r="KH59" s="90" t="e">
        <f>KG59/(BW59+#REF!)*(CB59+#REF!)</f>
        <v>#REF!</v>
      </c>
      <c r="KI59" s="90">
        <v>0.8</v>
      </c>
      <c r="KJ59" s="94"/>
      <c r="KK59" s="90">
        <f t="shared" si="159"/>
        <v>0</v>
      </c>
      <c r="KL59" s="93">
        <v>1.7272052</v>
      </c>
      <c r="KM59" s="90">
        <f>$I59*KL59</f>
        <v>2392.5246430399998</v>
      </c>
      <c r="KN59" s="90">
        <f t="shared" si="161"/>
        <v>2536.0761216224</v>
      </c>
      <c r="KO59" s="90" t="e">
        <f>BW59+CN59+DC59+DS59+EG59+EV59+FK59+GB59+#REF!+#REF!+HJ59+HX59+IQ59+JG59+JU59+KK59+KM59</f>
        <v>#REF!</v>
      </c>
      <c r="KP59" s="90">
        <v>1890.5711064739976</v>
      </c>
      <c r="KQ59" s="90">
        <v>0.28334929455000002</v>
      </c>
      <c r="KR59" s="90">
        <f t="shared" si="560"/>
        <v>392.49544281065999</v>
      </c>
      <c r="KS59" s="90">
        <v>0.28334929455000002</v>
      </c>
      <c r="KT59" s="90">
        <f t="shared" si="592"/>
        <v>392.49544281065999</v>
      </c>
      <c r="KU59" s="90">
        <f t="shared" si="593"/>
        <v>392.49544281065999</v>
      </c>
      <c r="KV59" s="90">
        <f t="shared" si="594"/>
        <v>392.5</v>
      </c>
      <c r="KW59" s="90">
        <f>I59*0.298447841</f>
        <v>413.40994935319992</v>
      </c>
      <c r="KX59" s="90">
        <f t="shared" si="166"/>
        <v>414.09</v>
      </c>
      <c r="KY59" s="90">
        <f t="shared" si="167"/>
        <v>446.01744907659554</v>
      </c>
      <c r="KZ59" s="90">
        <f t="shared" si="168"/>
        <v>446.01744907659554</v>
      </c>
      <c r="LA59" s="90">
        <f t="shared" si="169"/>
        <v>6399.6219986574988</v>
      </c>
      <c r="LB59" s="90">
        <f t="shared" si="170"/>
        <v>4.62</v>
      </c>
      <c r="LC59" s="92">
        <f t="shared" si="171"/>
        <v>76795.463983889989</v>
      </c>
      <c r="LD59" s="92">
        <v>4.97</v>
      </c>
      <c r="LE59" s="92">
        <v>6884.4399999999978</v>
      </c>
      <c r="LF59" s="90">
        <f t="shared" si="172"/>
        <v>4.9800000000000004</v>
      </c>
      <c r="LG59" s="90">
        <f t="shared" si="173"/>
        <v>6898.3</v>
      </c>
      <c r="LH59" s="90">
        <f t="shared" si="174"/>
        <v>6879.5936485568109</v>
      </c>
      <c r="LI59" s="90">
        <f t="shared" si="175"/>
        <v>4.97</v>
      </c>
      <c r="LJ59" s="90">
        <f t="shared" si="176"/>
        <v>6898.2999999999993</v>
      </c>
      <c r="LK59" s="90">
        <f t="shared" si="177"/>
        <v>4.9800000000000004</v>
      </c>
      <c r="LL59" s="90">
        <f t="shared" si="178"/>
        <v>6898.2999999999993</v>
      </c>
      <c r="LM59" s="90">
        <f t="shared" si="179"/>
        <v>4.9800000000000004</v>
      </c>
      <c r="LN59" s="95">
        <v>0.46</v>
      </c>
      <c r="LO59" s="95">
        <f t="shared" si="180"/>
        <v>637.19000000000005</v>
      </c>
      <c r="LP59" s="95"/>
      <c r="LQ59" s="95">
        <f t="shared" si="181"/>
        <v>0</v>
      </c>
      <c r="LR59" s="90"/>
      <c r="LS59" s="90"/>
      <c r="LT59" s="90">
        <f t="shared" si="182"/>
        <v>0</v>
      </c>
      <c r="LU59" s="90"/>
      <c r="LV59" s="90">
        <f t="shared" si="183"/>
        <v>0</v>
      </c>
      <c r="LW59" s="90">
        <f t="shared" si="184"/>
        <v>0</v>
      </c>
      <c r="LX59" s="90"/>
      <c r="LY59" s="90"/>
      <c r="LZ59" s="90">
        <f t="shared" si="185"/>
        <v>0</v>
      </c>
      <c r="MA59" s="90"/>
      <c r="MB59" s="90">
        <f t="shared" si="186"/>
        <v>0</v>
      </c>
      <c r="MC59" s="90">
        <f t="shared" si="187"/>
        <v>0</v>
      </c>
      <c r="MD59" s="90"/>
      <c r="ME59" s="90"/>
      <c r="MF59" s="90">
        <f t="shared" si="188"/>
        <v>0</v>
      </c>
      <c r="MG59" s="90"/>
      <c r="MH59" s="90">
        <f t="shared" si="189"/>
        <v>0</v>
      </c>
      <c r="MI59" s="90">
        <f t="shared" si="190"/>
        <v>0</v>
      </c>
      <c r="MJ59" s="90"/>
      <c r="MK59" s="90"/>
      <c r="ML59" s="90">
        <f t="shared" si="191"/>
        <v>0</v>
      </c>
      <c r="MM59" s="90"/>
      <c r="MN59" s="90">
        <f t="shared" si="192"/>
        <v>0</v>
      </c>
      <c r="MO59" s="90">
        <f t="shared" si="193"/>
        <v>0</v>
      </c>
      <c r="MP59" s="90">
        <f t="shared" si="194"/>
        <v>0</v>
      </c>
      <c r="MQ59" s="90">
        <f t="shared" si="195"/>
        <v>0</v>
      </c>
      <c r="MR59" s="90">
        <f t="shared" si="196"/>
        <v>0</v>
      </c>
      <c r="MS59" s="90">
        <f t="shared" si="197"/>
        <v>0</v>
      </c>
      <c r="MT59" s="95"/>
      <c r="MU59" s="95">
        <f t="shared" si="198"/>
        <v>0</v>
      </c>
      <c r="MV59" s="92">
        <f t="shared" si="199"/>
        <v>0</v>
      </c>
      <c r="MW59" s="95"/>
      <c r="MX59" s="95">
        <f t="shared" si="200"/>
        <v>0</v>
      </c>
      <c r="MY59" s="95"/>
      <c r="MZ59" s="95">
        <f t="shared" si="201"/>
        <v>0</v>
      </c>
      <c r="NA59" s="95"/>
      <c r="NB59" s="95">
        <f t="shared" si="202"/>
        <v>0</v>
      </c>
      <c r="NC59" s="92">
        <f t="shared" si="203"/>
        <v>0</v>
      </c>
      <c r="ND59" s="95"/>
      <c r="NE59" s="95">
        <f t="shared" si="204"/>
        <v>0</v>
      </c>
      <c r="NF59" s="95"/>
      <c r="NG59" s="95">
        <f t="shared" si="205"/>
        <v>0</v>
      </c>
      <c r="NH59" s="95"/>
      <c r="NI59" s="95"/>
      <c r="NJ59" s="95">
        <f t="shared" si="206"/>
        <v>0</v>
      </c>
      <c r="NK59" s="92">
        <f t="shared" si="207"/>
        <v>0</v>
      </c>
      <c r="NL59" s="95"/>
      <c r="NM59" s="95">
        <f t="shared" si="208"/>
        <v>0</v>
      </c>
      <c r="NN59" s="95"/>
      <c r="NO59" s="95">
        <f t="shared" si="209"/>
        <v>0</v>
      </c>
      <c r="NP59" s="95"/>
      <c r="NQ59" s="95">
        <f t="shared" si="210"/>
        <v>0</v>
      </c>
      <c r="NR59" s="92">
        <f t="shared" si="211"/>
        <v>0</v>
      </c>
      <c r="NS59" s="95"/>
      <c r="NT59" s="95">
        <f t="shared" si="212"/>
        <v>0</v>
      </c>
      <c r="NU59" s="95"/>
      <c r="NV59" s="95">
        <f t="shared" si="213"/>
        <v>0</v>
      </c>
      <c r="NW59" s="95">
        <v>0.55000000000000004</v>
      </c>
      <c r="NX59" s="95">
        <f t="shared" si="214"/>
        <v>761.86</v>
      </c>
      <c r="NY59" s="92">
        <f t="shared" si="215"/>
        <v>9142.32</v>
      </c>
      <c r="NZ59" s="112">
        <f>0.55+0.25</f>
        <v>0.8</v>
      </c>
      <c r="OA59" s="95">
        <f t="shared" si="216"/>
        <v>1108.1600000000001</v>
      </c>
      <c r="OB59" s="112">
        <f t="shared" si="618"/>
        <v>0.78</v>
      </c>
      <c r="OC59" s="95">
        <f t="shared" si="217"/>
        <v>1080.46</v>
      </c>
      <c r="OD59" s="90">
        <v>18478.57</v>
      </c>
      <c r="OE59" s="90">
        <f t="shared" si="218"/>
        <v>13.34</v>
      </c>
      <c r="OF59" s="92">
        <f t="shared" si="219"/>
        <v>221742.84</v>
      </c>
      <c r="OG59" s="96">
        <v>1542.66</v>
      </c>
      <c r="OH59" s="96">
        <v>1.1100000000000001</v>
      </c>
      <c r="OI59" s="90">
        <v>9072.41</v>
      </c>
      <c r="OJ59" s="90">
        <f t="shared" si="220"/>
        <v>6.55</v>
      </c>
      <c r="OK59" s="90">
        <f t="shared" si="221"/>
        <v>20021.23</v>
      </c>
      <c r="OL59" s="90">
        <f t="shared" si="222"/>
        <v>14.45</v>
      </c>
      <c r="OM59" s="90">
        <f t="shared" si="223"/>
        <v>-7.8999999999999995</v>
      </c>
      <c r="ON59" s="111">
        <v>9072.41</v>
      </c>
      <c r="OO59" s="90">
        <f t="shared" si="224"/>
        <v>6.55</v>
      </c>
      <c r="OP59" s="90">
        <v>7529.75</v>
      </c>
      <c r="OQ59" s="90">
        <v>5.44</v>
      </c>
      <c r="OR59" s="90">
        <f t="shared" si="225"/>
        <v>1.1099999999999994</v>
      </c>
      <c r="OS59" s="90">
        <f t="shared" si="226"/>
        <v>5.4399999999999995</v>
      </c>
      <c r="OT59" s="90">
        <v>9072.41</v>
      </c>
      <c r="OU59" s="90">
        <f t="shared" si="227"/>
        <v>6.55</v>
      </c>
      <c r="OV59" s="97">
        <v>7687.86</v>
      </c>
      <c r="OW59" s="90">
        <f t="shared" si="619"/>
        <v>9391.66</v>
      </c>
      <c r="OX59" s="90">
        <f t="shared" si="229"/>
        <v>6.78</v>
      </c>
      <c r="OY59" s="90">
        <f>OU59-1+1.23</f>
        <v>6.7799999999999994</v>
      </c>
      <c r="OZ59" s="90"/>
      <c r="PA59" s="90"/>
      <c r="PB59" s="95">
        <f t="shared" si="230"/>
        <v>0</v>
      </c>
      <c r="PC59" s="92">
        <f t="shared" si="231"/>
        <v>0</v>
      </c>
      <c r="PD59" s="90"/>
      <c r="PE59" s="95">
        <f t="shared" si="232"/>
        <v>0</v>
      </c>
      <c r="PF59" s="90">
        <f t="shared" si="233"/>
        <v>33668.756998657496</v>
      </c>
      <c r="PG59" s="90">
        <f t="shared" si="234"/>
        <v>24.31</v>
      </c>
      <c r="PH59" s="90">
        <f t="shared" si="235"/>
        <v>29053.149999999998</v>
      </c>
      <c r="PI59" s="90">
        <f t="shared" si="236"/>
        <v>20.97</v>
      </c>
      <c r="PJ59" s="90">
        <f t="shared" si="237"/>
        <v>29053.149999999998</v>
      </c>
      <c r="PK59" s="90">
        <f t="shared" si="238"/>
        <v>20.97</v>
      </c>
      <c r="PL59" s="90"/>
      <c r="PM59" s="90">
        <f t="shared" si="239"/>
        <v>1010.06</v>
      </c>
      <c r="PN59" s="90">
        <f t="shared" si="240"/>
        <v>0.73</v>
      </c>
      <c r="PO59" s="92">
        <f t="shared" si="241"/>
        <v>12120.72</v>
      </c>
      <c r="PP59" s="90">
        <f t="shared" si="242"/>
        <v>871.59</v>
      </c>
      <c r="PQ59" s="90">
        <f t="shared" si="243"/>
        <v>0.63</v>
      </c>
      <c r="PR59" s="90">
        <f t="shared" si="244"/>
        <v>871.59</v>
      </c>
      <c r="PS59" s="90">
        <f t="shared" si="245"/>
        <v>0.63</v>
      </c>
      <c r="PT59" s="90">
        <f t="shared" si="246"/>
        <v>34678.816998657494</v>
      </c>
      <c r="PU59" s="90">
        <f t="shared" si="247"/>
        <v>25.04</v>
      </c>
      <c r="PV59" s="90">
        <f t="shared" si="248"/>
        <v>29924.739999999998</v>
      </c>
      <c r="PW59" s="90">
        <f t="shared" si="249"/>
        <v>21.6</v>
      </c>
      <c r="PX59" s="90">
        <f t="shared" si="250"/>
        <v>29924.739999999998</v>
      </c>
      <c r="PY59" s="90">
        <f t="shared" si="251"/>
        <v>21.6</v>
      </c>
      <c r="PZ59" s="90">
        <f t="shared" si="252"/>
        <v>350.29</v>
      </c>
      <c r="QA59" s="90">
        <f t="shared" si="253"/>
        <v>0.25</v>
      </c>
      <c r="QB59" s="92">
        <f t="shared" si="254"/>
        <v>4203.4800000000005</v>
      </c>
      <c r="QC59" s="90">
        <f t="shared" si="255"/>
        <v>302.27</v>
      </c>
      <c r="QD59" s="90">
        <f t="shared" si="256"/>
        <v>0.22</v>
      </c>
      <c r="QE59" s="90">
        <f t="shared" si="257"/>
        <v>302.27</v>
      </c>
      <c r="QF59" s="90">
        <f t="shared" si="258"/>
        <v>0.22</v>
      </c>
      <c r="QG59" s="90">
        <f t="shared" si="259"/>
        <v>35029.106998657495</v>
      </c>
      <c r="QH59" s="90">
        <f t="shared" si="260"/>
        <v>25.29</v>
      </c>
      <c r="QI59" s="92">
        <f t="shared" si="261"/>
        <v>420349.28398388997</v>
      </c>
      <c r="QJ59" s="90">
        <f t="shared" si="262"/>
        <v>438.69994935319994</v>
      </c>
      <c r="QK59" s="98">
        <f t="shared" si="263"/>
        <v>0.37919999999999998</v>
      </c>
      <c r="QL59" s="90">
        <f t="shared" si="264"/>
        <v>525.26783999999986</v>
      </c>
      <c r="QM59" s="90">
        <f t="shared" si="265"/>
        <v>0.25280000000000002</v>
      </c>
      <c r="QN59" s="90">
        <f t="shared" si="266"/>
        <v>350.17856</v>
      </c>
      <c r="QO59" s="90">
        <v>0.37919999999999998</v>
      </c>
      <c r="QP59" s="90">
        <v>0.25280000000000002</v>
      </c>
      <c r="QQ59" s="97">
        <f t="shared" si="267"/>
        <v>875.44639999999981</v>
      </c>
      <c r="QR59" s="97">
        <v>878.79600000000005</v>
      </c>
      <c r="QS59" s="97">
        <f t="shared" si="268"/>
        <v>-3.3496000000002368</v>
      </c>
      <c r="QT59" s="90"/>
      <c r="QU59" s="90">
        <f t="shared" si="269"/>
        <v>0.25280000000000002</v>
      </c>
      <c r="QV59" s="90">
        <f t="shared" si="270"/>
        <v>350.17856</v>
      </c>
      <c r="QW59" s="90">
        <f t="shared" si="271"/>
        <v>875.44639999999981</v>
      </c>
      <c r="QX59" s="90">
        <f t="shared" si="272"/>
        <v>0.6319999999999999</v>
      </c>
      <c r="QY59" s="90"/>
      <c r="QZ59" s="90"/>
      <c r="RA59" s="90"/>
      <c r="RB59" s="90">
        <v>6090.8600000000006</v>
      </c>
      <c r="RC59" s="97">
        <f t="shared" si="273"/>
        <v>35029.106998657495</v>
      </c>
      <c r="RD59" s="97">
        <f t="shared" si="274"/>
        <v>25.29</v>
      </c>
      <c r="RE59" s="90">
        <f t="shared" si="275"/>
        <v>30227.01</v>
      </c>
      <c r="RF59" s="90">
        <f t="shared" si="276"/>
        <v>21.82</v>
      </c>
      <c r="RG59" s="90">
        <f t="shared" si="277"/>
        <v>86.313291139240505</v>
      </c>
      <c r="RH59" s="90">
        <f t="shared" si="278"/>
        <v>30227.01</v>
      </c>
      <c r="RI59" s="90">
        <f t="shared" si="279"/>
        <v>21.82</v>
      </c>
      <c r="RJ59" s="90">
        <v>20.260000000000005</v>
      </c>
      <c r="RK59" s="90">
        <v>0</v>
      </c>
      <c r="RL59" s="90">
        <f t="shared" si="280"/>
        <v>1.5599999999999952</v>
      </c>
      <c r="RM59" s="90">
        <f t="shared" si="281"/>
        <v>112.0061570035916</v>
      </c>
      <c r="RN59" s="90">
        <f t="shared" si="282"/>
        <v>16205.126998657499</v>
      </c>
      <c r="RO59" s="90"/>
      <c r="RP59" s="90"/>
      <c r="RQ59" s="99">
        <v>3359</v>
      </c>
      <c r="RR59" s="90">
        <f t="shared" si="283"/>
        <v>16550.536998657499</v>
      </c>
      <c r="RS59" s="90">
        <f t="shared" si="284"/>
        <v>11.948120848005704</v>
      </c>
      <c r="RT59" s="20">
        <v>14.73</v>
      </c>
      <c r="RU59" s="90">
        <f t="shared" si="285"/>
        <v>20403.995999999999</v>
      </c>
      <c r="RV59" s="90">
        <f t="shared" si="286"/>
        <v>0.31670513236586773</v>
      </c>
      <c r="RW59" s="20">
        <v>13.49</v>
      </c>
      <c r="RX59" s="90">
        <f t="shared" si="287"/>
        <v>14.1645</v>
      </c>
      <c r="RY59" s="90">
        <f t="shared" si="288"/>
        <v>19620.665399999998</v>
      </c>
      <c r="RZ59" s="90">
        <f t="shared" si="289"/>
        <v>6067.7716150696288</v>
      </c>
      <c r="SA59" s="90">
        <f t="shared" si="290"/>
        <v>1807.4815386760138</v>
      </c>
      <c r="SB59" s="90">
        <f t="shared" si="291"/>
        <v>1807.4828232827886</v>
      </c>
      <c r="SC59" s="90">
        <f t="shared" si="292"/>
        <v>6067.7716150696288</v>
      </c>
      <c r="SD59" s="90">
        <f t="shared" si="293"/>
        <v>6067.7728996764035</v>
      </c>
      <c r="SE59" s="90">
        <f t="shared" si="294"/>
        <v>6067.7667227393604</v>
      </c>
      <c r="SF59" s="90">
        <f t="shared" si="295"/>
        <v>6049.3406906887803</v>
      </c>
      <c r="SG59" s="90">
        <f t="shared" si="296"/>
        <v>18.43092438084841</v>
      </c>
      <c r="SH59" s="90">
        <f t="shared" si="297"/>
        <v>6069.6898327687804</v>
      </c>
      <c r="SI59" s="90">
        <f t="shared" si="298"/>
        <v>4.3804309122700005</v>
      </c>
      <c r="SJ59" s="100">
        <f t="shared" si="299"/>
        <v>4.3671243796482679</v>
      </c>
      <c r="SK59" s="100"/>
      <c r="SL59" s="100"/>
      <c r="SM59" s="90"/>
      <c r="SN59" s="90">
        <f t="shared" si="300"/>
        <v>6144.2300000000005</v>
      </c>
      <c r="SO59" s="90" t="e">
        <f>RU59-#REF!-#REF!-HZ59-LT59-LZ59-MF59-ML59-QL59-QN59-SD59</f>
        <v>#REF!</v>
      </c>
      <c r="SP59" s="90">
        <f t="shared" si="301"/>
        <v>6067.6600000000008</v>
      </c>
      <c r="SQ59" s="90">
        <f t="shared" si="302"/>
        <v>6399.6219986574988</v>
      </c>
      <c r="SR59" s="90">
        <f t="shared" si="303"/>
        <v>4.3803494080277225</v>
      </c>
      <c r="SS59" s="90">
        <f t="shared" si="304"/>
        <v>4.6199985551960001</v>
      </c>
      <c r="ST59" s="90">
        <f t="shared" si="305"/>
        <v>6407.674</v>
      </c>
      <c r="SU59" s="90">
        <v>4.3803380079108241</v>
      </c>
      <c r="SV59" s="90">
        <f t="shared" si="306"/>
        <v>4.63</v>
      </c>
      <c r="SW59" s="90">
        <v>4.62</v>
      </c>
      <c r="SX59" s="90">
        <f t="shared" si="307"/>
        <v>6399.62</v>
      </c>
      <c r="SY59" s="90">
        <v>4.3804171161452716</v>
      </c>
      <c r="SZ59" s="90">
        <f t="shared" si="308"/>
        <v>6067.7537892844293</v>
      </c>
      <c r="TA59" s="90">
        <f t="shared" si="309"/>
        <v>9.3789284428567044E-2</v>
      </c>
      <c r="TB59" s="90">
        <v>0</v>
      </c>
      <c r="TC59" s="90">
        <f t="shared" si="310"/>
        <v>6176.6786000000002</v>
      </c>
      <c r="TD59" s="90" t="e">
        <f>#REF!+#REF!</f>
        <v>#REF!</v>
      </c>
      <c r="TE59" s="90" t="e">
        <f t="shared" si="311"/>
        <v>#REF!</v>
      </c>
      <c r="TF59" s="90">
        <v>6279.4590000000007</v>
      </c>
      <c r="TG59" s="90">
        <f t="shared" si="312"/>
        <v>30.271906542228301</v>
      </c>
      <c r="TH59" s="95"/>
      <c r="TI59" s="95"/>
      <c r="TJ59" s="95"/>
      <c r="TK59" s="95"/>
      <c r="TL59" s="95">
        <v>0.55000000000000004</v>
      </c>
      <c r="TM59" s="95">
        <f t="shared" si="313"/>
        <v>761.86</v>
      </c>
      <c r="TN59" s="95">
        <f t="shared" si="314"/>
        <v>21165.856</v>
      </c>
      <c r="TO59" s="95">
        <f t="shared" si="315"/>
        <v>29.182276398365371</v>
      </c>
      <c r="TP59" s="95"/>
      <c r="TQ59" s="95">
        <f t="shared" si="316"/>
        <v>25.28</v>
      </c>
      <c r="TR59" s="95"/>
      <c r="TS59" s="95"/>
      <c r="TT59" s="95"/>
      <c r="TU59" s="95"/>
      <c r="TV59" s="95"/>
      <c r="TW59" s="95"/>
      <c r="TX59" s="95"/>
      <c r="TY59" s="95"/>
      <c r="TZ59" s="95">
        <f t="shared" si="317"/>
        <v>2.4999999999999996</v>
      </c>
      <c r="UA59" s="95">
        <f t="shared" si="318"/>
        <v>1.1123200000000002</v>
      </c>
      <c r="UB59" s="90">
        <v>10</v>
      </c>
      <c r="UC59" s="90">
        <f t="shared" si="319"/>
        <v>13851.999999999998</v>
      </c>
      <c r="UD59" s="90">
        <f t="shared" si="320"/>
        <v>139.91919191919189</v>
      </c>
      <c r="UE59" s="90">
        <f t="shared" si="321"/>
        <v>13712.080808080806</v>
      </c>
      <c r="UF59" s="90">
        <f t="shared" si="322"/>
        <v>34255.995999999999</v>
      </c>
      <c r="UG59" s="91">
        <f t="shared" si="323"/>
        <v>40.436716538617063</v>
      </c>
      <c r="UH59" s="95">
        <f t="shared" si="324"/>
        <v>18.030941502912366</v>
      </c>
      <c r="UI59" s="95">
        <f t="shared" si="325"/>
        <v>35017.856</v>
      </c>
      <c r="UJ59" s="101">
        <f t="shared" si="326"/>
        <v>39.556962025316452</v>
      </c>
      <c r="UK59" s="101">
        <f t="shared" si="327"/>
        <v>17.638654405341093</v>
      </c>
      <c r="UL59" s="90" t="e">
        <f>(#REF!+#REF!+HZ59+LT59+LZ59+MF59+ML59+QL59+QN59+SN59+TC59+TM59+UC59)/I59</f>
        <v>#REF!</v>
      </c>
      <c r="UN59" s="90" t="e">
        <f>#REF!/I59</f>
        <v>#REF!</v>
      </c>
      <c r="UO59" s="90" t="e">
        <f>#REF!/I59</f>
        <v>#REF!</v>
      </c>
      <c r="UP59" s="90">
        <v>1.1499999999999999</v>
      </c>
      <c r="UQ59" s="90" t="e">
        <f t="shared" si="328"/>
        <v>#REF!</v>
      </c>
      <c r="UR59" s="90">
        <f t="shared" si="329"/>
        <v>16550.536998657499</v>
      </c>
      <c r="US59" s="90">
        <f t="shared" si="330"/>
        <v>19767.810000000001</v>
      </c>
      <c r="UT59" s="90">
        <f t="shared" si="331"/>
        <v>19767.810000000001</v>
      </c>
      <c r="UU59" s="90">
        <f t="shared" ref="UU59:UU60" si="623">BH59+GW59+IJ59+LL59+LO59+LQ59+LW59+MC59+MI59+MO59+MX59+NE59+NM59+NT59+OA59+PR59+QE59</f>
        <v>20405</v>
      </c>
      <c r="UV59" s="90">
        <f t="shared" si="333"/>
        <v>20198.16</v>
      </c>
      <c r="UW59" s="90">
        <f t="shared" si="334"/>
        <v>6.87</v>
      </c>
      <c r="UX59" s="90">
        <f t="shared" si="335"/>
        <v>4.62</v>
      </c>
      <c r="UY59" s="90">
        <f t="shared" si="336"/>
        <v>4.4356266243141791</v>
      </c>
      <c r="UZ59" s="100">
        <f t="shared" si="337"/>
        <v>4.3804309122700005</v>
      </c>
      <c r="VA59" s="90">
        <f t="shared" si="338"/>
        <v>0.59</v>
      </c>
      <c r="VB59" s="90">
        <f t="shared" si="339"/>
        <v>1.1100000000000001</v>
      </c>
      <c r="VC59" s="90">
        <f t="shared" si="340"/>
        <v>0.55000000000000004</v>
      </c>
      <c r="VD59" s="90">
        <f t="shared" si="341"/>
        <v>0</v>
      </c>
      <c r="VE59" s="90">
        <f t="shared" si="342"/>
        <v>0</v>
      </c>
      <c r="VF59" s="90">
        <f t="shared" si="343"/>
        <v>0</v>
      </c>
      <c r="VG59" s="90">
        <f t="shared" si="344"/>
        <v>0</v>
      </c>
      <c r="VH59" s="90">
        <f t="shared" si="345"/>
        <v>0</v>
      </c>
      <c r="VI59" s="90">
        <f t="shared" si="346"/>
        <v>0</v>
      </c>
      <c r="VJ59" s="90">
        <f t="shared" si="347"/>
        <v>0</v>
      </c>
      <c r="VK59" s="90">
        <f t="shared" si="348"/>
        <v>1.06</v>
      </c>
      <c r="VL59" s="90">
        <f t="shared" si="349"/>
        <v>4.09</v>
      </c>
      <c r="VM59" s="90">
        <f t="shared" si="350"/>
        <v>13.34</v>
      </c>
      <c r="VN59" s="90">
        <f t="shared" si="351"/>
        <v>0</v>
      </c>
      <c r="VO59" s="90">
        <f t="shared" si="352"/>
        <v>13.34</v>
      </c>
      <c r="VP59" s="97">
        <v>0</v>
      </c>
      <c r="VQ59" s="97">
        <v>13.34</v>
      </c>
      <c r="VR59" s="90">
        <f t="shared" si="353"/>
        <v>0.73</v>
      </c>
      <c r="VS59" s="90">
        <f t="shared" si="354"/>
        <v>0.25</v>
      </c>
      <c r="VT59" s="90">
        <v>0.11989898989898991</v>
      </c>
      <c r="VU59" s="90">
        <f t="shared" si="355"/>
        <v>0.25280000000000002</v>
      </c>
      <c r="VV59" s="90">
        <v>0.38175323599898991</v>
      </c>
      <c r="VW59" s="90">
        <f t="shared" si="356"/>
        <v>0.98</v>
      </c>
      <c r="VX59" s="90">
        <f t="shared" si="357"/>
        <v>25.28</v>
      </c>
      <c r="VY59" s="90">
        <f t="shared" si="358"/>
        <v>25.28</v>
      </c>
      <c r="VZ59" s="90">
        <f t="shared" si="359"/>
        <v>0</v>
      </c>
      <c r="WA59" s="90"/>
      <c r="WB59" s="90">
        <f t="shared" si="360"/>
        <v>25.28</v>
      </c>
      <c r="WC59" s="90">
        <f t="shared" si="361"/>
        <v>0</v>
      </c>
      <c r="WD59" s="90"/>
      <c r="WE59" s="90">
        <v>25.28</v>
      </c>
      <c r="WF59" s="90"/>
      <c r="WG59" s="90">
        <f t="shared" si="362"/>
        <v>35017.856</v>
      </c>
      <c r="WH59" s="90">
        <f t="shared" si="363"/>
        <v>34255.995999999999</v>
      </c>
      <c r="WI59" s="90">
        <f t="shared" si="364"/>
        <v>34267.246998657494</v>
      </c>
      <c r="WJ59" s="90">
        <f t="shared" si="365"/>
        <v>16550.536998657499</v>
      </c>
      <c r="WK59" s="97">
        <v>18549.27</v>
      </c>
      <c r="WL59" s="97">
        <v>13.34</v>
      </c>
      <c r="WM59" s="90">
        <f t="shared" si="366"/>
        <v>18478.57</v>
      </c>
      <c r="WN59" s="90">
        <f t="shared" si="367"/>
        <v>13.34</v>
      </c>
      <c r="WO59" s="90"/>
      <c r="WP59" s="97">
        <v>25.28</v>
      </c>
      <c r="WQ59" s="90">
        <f t="shared" si="368"/>
        <v>25.28</v>
      </c>
      <c r="WR59" s="91">
        <f t="shared" si="369"/>
        <v>100</v>
      </c>
      <c r="WS59" s="91">
        <f t="shared" si="370"/>
        <v>165.44502617801047</v>
      </c>
      <c r="WT59" s="90">
        <f t="shared" si="371"/>
        <v>35017.86</v>
      </c>
      <c r="WU59" s="90">
        <f t="shared" si="372"/>
        <v>35029.106998657495</v>
      </c>
      <c r="WV59" s="90">
        <f t="shared" si="373"/>
        <v>-11.24699865749426</v>
      </c>
      <c r="WW59" s="90"/>
      <c r="WX59" s="90"/>
      <c r="WY59" s="90"/>
      <c r="WZ59" s="90">
        <f t="shared" si="374"/>
        <v>14.659704040404042</v>
      </c>
      <c r="XA59" s="90">
        <v>0</v>
      </c>
      <c r="XB59" s="90">
        <f t="shared" si="375"/>
        <v>14.659704040404042</v>
      </c>
      <c r="XC59" s="90">
        <f t="shared" si="376"/>
        <v>0.80069999999999997</v>
      </c>
      <c r="XD59" s="90">
        <f t="shared" si="377"/>
        <v>0.26959595959595961</v>
      </c>
      <c r="XE59" s="90"/>
      <c r="XF59" s="90">
        <f t="shared" si="378"/>
        <v>26.69</v>
      </c>
      <c r="XG59" s="90">
        <v>14.515971952535061</v>
      </c>
      <c r="XH59" s="20">
        <v>14.73</v>
      </c>
      <c r="XI59" s="20">
        <v>10</v>
      </c>
      <c r="XJ59" s="20"/>
      <c r="XK59" s="20"/>
      <c r="XL59" s="20">
        <v>0.55000000000000004</v>
      </c>
      <c r="XM59" s="20">
        <f t="shared" si="620"/>
        <v>25.28</v>
      </c>
      <c r="XN59" s="91">
        <f t="shared" si="380"/>
        <v>100</v>
      </c>
      <c r="XO59" s="20">
        <f t="shared" si="381"/>
        <v>15.280000000000001</v>
      </c>
      <c r="XP59" s="90">
        <f t="shared" si="621"/>
        <v>15.280000000000001</v>
      </c>
      <c r="XQ59" s="91">
        <f t="shared" si="383"/>
        <v>165.44502617801047</v>
      </c>
      <c r="XR59" s="102"/>
      <c r="XS59" s="90">
        <f t="shared" si="384"/>
        <v>4.09</v>
      </c>
      <c r="XT59" s="90">
        <f t="shared" si="385"/>
        <v>6.87</v>
      </c>
      <c r="XU59" s="90">
        <f t="shared" si="386"/>
        <v>4.62</v>
      </c>
      <c r="XV59" s="90">
        <f t="shared" si="387"/>
        <v>1.1400000000000001</v>
      </c>
      <c r="XW59" s="90">
        <f t="shared" si="388"/>
        <v>0.59</v>
      </c>
      <c r="XX59" s="90">
        <f t="shared" si="389"/>
        <v>0.55000000000000004</v>
      </c>
      <c r="XY59" s="90">
        <f t="shared" si="390"/>
        <v>1.1100000000000001</v>
      </c>
      <c r="XZ59" s="90">
        <f t="shared" si="391"/>
        <v>0</v>
      </c>
      <c r="YA59" s="90">
        <f t="shared" si="392"/>
        <v>0</v>
      </c>
      <c r="YB59" s="90">
        <f t="shared" si="552"/>
        <v>0</v>
      </c>
      <c r="YC59" s="90">
        <f t="shared" si="552"/>
        <v>0</v>
      </c>
      <c r="YD59" s="90">
        <f t="shared" si="394"/>
        <v>1.1100000000000001</v>
      </c>
      <c r="YE59" s="90">
        <f t="shared" si="395"/>
        <v>13.34</v>
      </c>
      <c r="YF59" s="90">
        <f t="shared" si="396"/>
        <v>0.98</v>
      </c>
      <c r="YG59" s="90">
        <f t="shared" si="397"/>
        <v>25.28</v>
      </c>
      <c r="YI59" s="103" t="s">
        <v>569</v>
      </c>
      <c r="YK59" s="90">
        <f t="shared" si="398"/>
        <v>1.07</v>
      </c>
      <c r="YL59" s="90">
        <f t="shared" si="553"/>
        <v>0.59</v>
      </c>
      <c r="YM59" s="90">
        <f t="shared" si="553"/>
        <v>1.1100000000000001</v>
      </c>
      <c r="YN59" s="90">
        <f t="shared" si="400"/>
        <v>4.09</v>
      </c>
      <c r="YO59" s="90">
        <f t="shared" si="401"/>
        <v>18.419999999999998</v>
      </c>
      <c r="YP59" s="90">
        <f t="shared" si="402"/>
        <v>0</v>
      </c>
      <c r="YQ59" s="90">
        <f t="shared" si="403"/>
        <v>25.28</v>
      </c>
      <c r="YR59" s="90">
        <f t="shared" si="404"/>
        <v>0</v>
      </c>
      <c r="YS59" s="104">
        <f t="shared" si="405"/>
        <v>25.279999999999998</v>
      </c>
      <c r="YT59" s="104">
        <f t="shared" si="406"/>
        <v>0</v>
      </c>
      <c r="YY59" s="90">
        <f t="shared" si="407"/>
        <v>8.82</v>
      </c>
      <c r="YZ59" s="90">
        <f t="shared" si="408"/>
        <v>4.9800000000000004</v>
      </c>
      <c r="ZA59" s="90">
        <f t="shared" si="409"/>
        <v>0.63</v>
      </c>
      <c r="ZB59" s="90">
        <f t="shared" si="410"/>
        <v>2.41</v>
      </c>
      <c r="ZC59" s="90">
        <f t="shared" si="411"/>
        <v>0.8</v>
      </c>
      <c r="ZD59" s="90">
        <f t="shared" si="412"/>
        <v>0</v>
      </c>
      <c r="ZE59" s="90">
        <f t="shared" si="413"/>
        <v>0</v>
      </c>
      <c r="ZF59" s="90">
        <f t="shared" si="414"/>
        <v>0</v>
      </c>
      <c r="ZG59" s="90">
        <f t="shared" si="415"/>
        <v>0</v>
      </c>
      <c r="ZH59" s="90">
        <f t="shared" si="416"/>
        <v>0</v>
      </c>
      <c r="ZI59" s="90">
        <f t="shared" si="417"/>
        <v>0</v>
      </c>
      <c r="ZJ59" s="90">
        <f t="shared" si="418"/>
        <v>0</v>
      </c>
      <c r="ZK59" s="90">
        <f t="shared" si="419"/>
        <v>0</v>
      </c>
      <c r="ZL59" s="90">
        <f t="shared" si="420"/>
        <v>0</v>
      </c>
      <c r="ZM59" s="90">
        <f t="shared" si="421"/>
        <v>4.6100000000000003</v>
      </c>
      <c r="ZN59" s="90">
        <f t="shared" si="422"/>
        <v>9.1900000000000013</v>
      </c>
      <c r="ZO59" s="90">
        <f t="shared" si="423"/>
        <v>14.45</v>
      </c>
      <c r="ZP59" s="90">
        <f t="shared" si="424"/>
        <v>6.78</v>
      </c>
      <c r="ZQ59" s="90">
        <f t="shared" si="425"/>
        <v>0</v>
      </c>
      <c r="ZR59" s="90">
        <f t="shared" si="426"/>
        <v>6.78</v>
      </c>
      <c r="ZS59" s="97">
        <v>227</v>
      </c>
      <c r="ZT59" s="97">
        <v>230.38</v>
      </c>
      <c r="ZU59" s="90">
        <f t="shared" si="427"/>
        <v>0.63</v>
      </c>
      <c r="ZV59" s="90">
        <f t="shared" si="428"/>
        <v>0.22</v>
      </c>
      <c r="ZW59" s="90">
        <v>0.11989898989898991</v>
      </c>
      <c r="ZX59" s="90">
        <f t="shared" si="429"/>
        <v>0.21060000000000004</v>
      </c>
      <c r="ZY59" s="90">
        <v>0.38175323599898991</v>
      </c>
      <c r="ZZ59" s="90">
        <f t="shared" si="430"/>
        <v>0.85</v>
      </c>
      <c r="AAA59" s="90">
        <f t="shared" si="431"/>
        <v>21.060000000000002</v>
      </c>
      <c r="AAB59" s="90">
        <f t="shared" si="432"/>
        <v>21.060000000000002</v>
      </c>
      <c r="AAC59" s="90">
        <f t="shared" si="433"/>
        <v>0</v>
      </c>
      <c r="AAD59" s="90"/>
      <c r="AAE59" s="90">
        <f t="shared" si="434"/>
        <v>21.060000000000002</v>
      </c>
      <c r="AAF59" s="90">
        <v>25.28</v>
      </c>
      <c r="AAG59" s="90">
        <f t="shared" si="435"/>
        <v>83.306962025316452</v>
      </c>
      <c r="AAH59" s="90">
        <f t="shared" si="436"/>
        <v>0</v>
      </c>
      <c r="AAI59" s="90">
        <v>0</v>
      </c>
      <c r="AAJ59" s="90"/>
      <c r="AAK59" s="1">
        <v>19.5</v>
      </c>
      <c r="AAL59" s="104">
        <f t="shared" si="437"/>
        <v>1.5600000000000023</v>
      </c>
      <c r="AAM59" s="103" t="s">
        <v>475</v>
      </c>
      <c r="AAN59" s="105">
        <v>8.8000000000000007</v>
      </c>
      <c r="AAO59" s="90">
        <f t="shared" si="438"/>
        <v>9.5900000000000016</v>
      </c>
      <c r="AAP59" s="90">
        <v>4.97</v>
      </c>
      <c r="AAQ59" s="90">
        <f t="shared" si="439"/>
        <v>4.9800000000000004</v>
      </c>
      <c r="AAR59" s="90">
        <v>0.63</v>
      </c>
      <c r="AAS59" s="90">
        <f t="shared" si="440"/>
        <v>0.94</v>
      </c>
      <c r="AAT59" s="90">
        <f t="shared" si="441"/>
        <v>149.20634920634919</v>
      </c>
      <c r="AAU59" s="90">
        <v>2.4</v>
      </c>
      <c r="AAV59" s="90">
        <f t="shared" si="442"/>
        <v>2.41</v>
      </c>
      <c r="AAW59" s="90">
        <f t="shared" si="443"/>
        <v>100.41666666666669</v>
      </c>
      <c r="AAX59" s="90">
        <f t="shared" si="444"/>
        <v>0.46</v>
      </c>
      <c r="AAY59" s="90">
        <f t="shared" si="445"/>
        <v>0.8</v>
      </c>
      <c r="AAZ59" s="90">
        <f t="shared" si="446"/>
        <v>0</v>
      </c>
      <c r="ABA59" s="90">
        <f t="shared" si="447"/>
        <v>0</v>
      </c>
      <c r="ABB59" s="90">
        <f t="shared" si="448"/>
        <v>0</v>
      </c>
      <c r="ABC59" s="90">
        <v>0</v>
      </c>
      <c r="ABD59" s="90">
        <f t="shared" si="449"/>
        <v>0</v>
      </c>
      <c r="ABE59" s="90"/>
      <c r="ABF59" s="90">
        <v>0</v>
      </c>
      <c r="ABG59" s="90">
        <f t="shared" si="450"/>
        <v>0</v>
      </c>
      <c r="ABH59" s="90"/>
      <c r="ABI59" s="90">
        <f t="shared" si="451"/>
        <v>0</v>
      </c>
      <c r="ABJ59" s="90">
        <f t="shared" si="452"/>
        <v>0</v>
      </c>
      <c r="ABK59" s="90">
        <v>0</v>
      </c>
      <c r="ABL59" s="90">
        <f t="shared" si="453"/>
        <v>0</v>
      </c>
      <c r="ABM59" s="90">
        <f t="shared" si="454"/>
        <v>0</v>
      </c>
      <c r="ABN59" s="90">
        <f t="shared" si="455"/>
        <v>0</v>
      </c>
      <c r="ABO59" s="90">
        <v>4.3899999999999997</v>
      </c>
      <c r="ABP59" s="90">
        <f t="shared" si="456"/>
        <v>4.6100000000000003</v>
      </c>
      <c r="ABQ59" s="90">
        <f t="shared" si="457"/>
        <v>105.01138952164011</v>
      </c>
      <c r="ABR59" s="90">
        <f t="shared" si="458"/>
        <v>9.1900000000000013</v>
      </c>
      <c r="ABS59" s="90">
        <f t="shared" si="459"/>
        <v>14.45</v>
      </c>
      <c r="ABT59" s="90">
        <v>5.55</v>
      </c>
      <c r="ABU59" s="90">
        <f t="shared" si="460"/>
        <v>6.78</v>
      </c>
      <c r="ABV59" s="90">
        <f t="shared" si="461"/>
        <v>122.16216216216218</v>
      </c>
      <c r="ABW59" s="90">
        <f t="shared" si="462"/>
        <v>0</v>
      </c>
      <c r="ABX59" s="90">
        <f t="shared" si="463"/>
        <v>6.78</v>
      </c>
      <c r="ABY59" s="97">
        <v>227</v>
      </c>
      <c r="ABZ59" s="97">
        <v>230.38</v>
      </c>
      <c r="ACA59" s="90">
        <f t="shared" si="464"/>
        <v>0.63</v>
      </c>
      <c r="ACB59" s="90">
        <f t="shared" si="465"/>
        <v>0.22</v>
      </c>
      <c r="ACC59" s="90">
        <v>0.11989898989898991</v>
      </c>
      <c r="ACD59" s="90">
        <f t="shared" si="466"/>
        <v>0.21370000000000006</v>
      </c>
      <c r="ACE59" s="90">
        <v>0.38175323599898991</v>
      </c>
      <c r="ACF59" s="90">
        <v>0.75</v>
      </c>
      <c r="ACG59" s="90">
        <f t="shared" si="467"/>
        <v>0.85</v>
      </c>
      <c r="ACH59" s="90">
        <f t="shared" si="468"/>
        <v>113.33333333333333</v>
      </c>
      <c r="ACI59" s="90">
        <f t="shared" si="469"/>
        <v>21.830000000000005</v>
      </c>
      <c r="ACJ59" s="90">
        <f t="shared" si="470"/>
        <v>21.370000000000005</v>
      </c>
      <c r="ACK59" s="90">
        <f t="shared" si="471"/>
        <v>-0.46000000000000085</v>
      </c>
      <c r="ACL59" s="90"/>
      <c r="ACM59" s="90">
        <f t="shared" si="472"/>
        <v>21.830000000000005</v>
      </c>
      <c r="ACN59" s="90">
        <f t="shared" si="473"/>
        <v>0</v>
      </c>
      <c r="ACO59" s="90">
        <f t="shared" si="474"/>
        <v>21.830000000000005</v>
      </c>
      <c r="ACP59" s="90">
        <v>19.490000000000002</v>
      </c>
      <c r="ACQ59" s="90">
        <f t="shared" si="475"/>
        <v>112.0061570035916</v>
      </c>
      <c r="ACR59" s="90">
        <f t="shared" si="476"/>
        <v>0</v>
      </c>
      <c r="ACS59" s="90">
        <v>0</v>
      </c>
      <c r="ACT59" s="90"/>
      <c r="ACU59" s="90">
        <f t="shared" si="477"/>
        <v>20.483990000000002</v>
      </c>
      <c r="ACV59" s="90">
        <f t="shared" si="478"/>
        <v>-1.3460100000000033</v>
      </c>
      <c r="ACX59" s="106" t="s">
        <v>570</v>
      </c>
      <c r="ACY59" s="107">
        <f>165000+8000+12500</f>
        <v>185500</v>
      </c>
      <c r="ACZ59" s="107">
        <v>165000</v>
      </c>
      <c r="ADB59" s="90">
        <f t="shared" si="479"/>
        <v>4.6100000000000003</v>
      </c>
      <c r="ADC59" s="90">
        <f t="shared" si="480"/>
        <v>9.59</v>
      </c>
      <c r="ADD59" s="90">
        <f t="shared" si="481"/>
        <v>4.9800000000000004</v>
      </c>
      <c r="ADE59" s="90">
        <f t="shared" ref="ADE59:ADE60" si="624">ADF59+ADG59+ADH59+ADI59</f>
        <v>2.2000000000000002</v>
      </c>
      <c r="ADF59" s="90">
        <f t="shared" si="483"/>
        <v>0.94</v>
      </c>
      <c r="ADG59" s="90">
        <f t="shared" si="554"/>
        <v>0.46</v>
      </c>
      <c r="ADH59" s="90">
        <f t="shared" si="554"/>
        <v>0.8</v>
      </c>
      <c r="ADI59" s="90">
        <f t="shared" si="554"/>
        <v>0</v>
      </c>
      <c r="ADJ59" s="90">
        <f t="shared" si="485"/>
        <v>2.41</v>
      </c>
      <c r="ADK59" s="90">
        <f t="shared" si="486"/>
        <v>0</v>
      </c>
      <c r="ADL59" s="90">
        <f t="shared" si="487"/>
        <v>0</v>
      </c>
      <c r="ADM59" s="90">
        <f t="shared" si="555"/>
        <v>0</v>
      </c>
      <c r="ADN59" s="90">
        <f t="shared" si="555"/>
        <v>0</v>
      </c>
      <c r="ADO59" s="90">
        <f t="shared" si="489"/>
        <v>2.41</v>
      </c>
      <c r="ADP59" s="90">
        <f t="shared" si="490"/>
        <v>6.78</v>
      </c>
      <c r="ADQ59" s="90">
        <f t="shared" si="491"/>
        <v>0.85</v>
      </c>
      <c r="ADR59" s="90">
        <f t="shared" si="492"/>
        <v>21.830000000000002</v>
      </c>
      <c r="ADU59" s="90">
        <f t="shared" si="493"/>
        <v>1.1499999999999999</v>
      </c>
      <c r="ADV59" s="90">
        <f t="shared" si="494"/>
        <v>0.94</v>
      </c>
      <c r="ADW59" s="90">
        <f t="shared" si="495"/>
        <v>2.41</v>
      </c>
      <c r="ADX59" s="90">
        <f t="shared" si="496"/>
        <v>4.6100000000000003</v>
      </c>
      <c r="ADY59" s="90">
        <f t="shared" si="497"/>
        <v>12.26</v>
      </c>
      <c r="ADZ59" s="90">
        <f t="shared" si="498"/>
        <v>0</v>
      </c>
      <c r="AEA59" s="90">
        <f t="shared" si="499"/>
        <v>21.830000000000005</v>
      </c>
      <c r="AEB59" s="90">
        <f t="shared" si="500"/>
        <v>0</v>
      </c>
      <c r="AEC59" s="104">
        <f t="shared" si="501"/>
        <v>21.369999999999997</v>
      </c>
      <c r="AED59" s="104">
        <f t="shared" si="502"/>
        <v>0.46000000000000796</v>
      </c>
      <c r="AEG59" s="1">
        <v>8.8000000000000007</v>
      </c>
      <c r="AEH59" s="1">
        <v>4.97</v>
      </c>
      <c r="AEI59" s="1">
        <v>0.63</v>
      </c>
      <c r="AEJ59" s="1">
        <v>2.4</v>
      </c>
      <c r="AEK59" s="1">
        <v>0</v>
      </c>
      <c r="AEL59" s="1">
        <v>0.8</v>
      </c>
      <c r="AEM59" s="1">
        <v>0</v>
      </c>
      <c r="AEN59" s="1">
        <v>0</v>
      </c>
      <c r="AEO59" s="1">
        <v>0</v>
      </c>
      <c r="AEP59" s="1">
        <v>0</v>
      </c>
      <c r="AEQ59" s="1">
        <v>0</v>
      </c>
      <c r="AER59" s="1">
        <v>0</v>
      </c>
      <c r="AES59" s="1">
        <v>0</v>
      </c>
      <c r="AET59" s="1">
        <v>0</v>
      </c>
      <c r="AEU59" s="1">
        <v>0</v>
      </c>
      <c r="AEV59" s="1">
        <v>0</v>
      </c>
      <c r="AEW59" s="1">
        <v>4.3899999999999997</v>
      </c>
      <c r="AEX59" s="1">
        <v>7.9499999999999993</v>
      </c>
      <c r="AEY59" s="1">
        <v>14.45</v>
      </c>
      <c r="AEZ59" s="1">
        <v>5.55</v>
      </c>
      <c r="AFA59" s="1">
        <v>0</v>
      </c>
      <c r="AFB59" s="1">
        <v>5.55</v>
      </c>
      <c r="AFC59" s="1">
        <v>227</v>
      </c>
      <c r="AFD59" s="1">
        <v>230.38</v>
      </c>
      <c r="AFE59" s="1">
        <v>0.56000000000000005</v>
      </c>
      <c r="AFF59" s="1">
        <v>0.19</v>
      </c>
      <c r="AFG59" s="1">
        <v>0.11989898989898991</v>
      </c>
      <c r="AFH59" s="1">
        <v>0.19490000000000002</v>
      </c>
      <c r="AFI59" s="1">
        <v>0.38175323599898991</v>
      </c>
      <c r="AFJ59" s="1">
        <v>0.75</v>
      </c>
      <c r="AFK59" s="1">
        <v>19.490000000000002</v>
      </c>
      <c r="AFL59" s="1">
        <v>19.490000000000002</v>
      </c>
      <c r="AFM59" s="1">
        <v>0</v>
      </c>
      <c r="AFO59" s="1">
        <v>19.490000000000002</v>
      </c>
      <c r="AFP59" s="1">
        <v>0</v>
      </c>
      <c r="AFQ59" s="1">
        <v>19.5</v>
      </c>
      <c r="AFX59" s="1">
        <v>20.260000000000002</v>
      </c>
    </row>
    <row r="60" spans="1:856" s="1" customFormat="1" ht="63.75" customHeight="1">
      <c r="A60" s="88">
        <v>52</v>
      </c>
      <c r="B60" s="20"/>
      <c r="C60" s="89" t="s">
        <v>571</v>
      </c>
      <c r="D60" s="20"/>
      <c r="E60" s="20" t="s">
        <v>536</v>
      </c>
      <c r="F60" s="20" t="s">
        <v>537</v>
      </c>
      <c r="G60" s="20">
        <v>1.2</v>
      </c>
      <c r="H60" s="20">
        <v>1396.7</v>
      </c>
      <c r="I60" s="20">
        <f>1396.7+1.4-1.4</f>
        <v>1396.7</v>
      </c>
      <c r="J60" s="20">
        <f t="shared" si="0"/>
        <v>1676.04</v>
      </c>
      <c r="K60" s="20">
        <v>27</v>
      </c>
      <c r="L60" s="20">
        <v>57</v>
      </c>
      <c r="M60" s="20">
        <v>68</v>
      </c>
      <c r="N60" s="20">
        <v>1677.11</v>
      </c>
      <c r="O60" s="90">
        <f t="shared" si="1"/>
        <v>1.2</v>
      </c>
      <c r="P60" s="20">
        <v>5184</v>
      </c>
      <c r="Q60" s="90">
        <f t="shared" si="613"/>
        <v>432</v>
      </c>
      <c r="R60" s="90">
        <f t="shared" si="2"/>
        <v>0.31</v>
      </c>
      <c r="S60" s="110">
        <f>123.5+0.3</f>
        <v>123.8</v>
      </c>
      <c r="T60" s="20">
        <v>2.6</v>
      </c>
      <c r="U60" s="20">
        <v>3.13</v>
      </c>
      <c r="V60" s="91">
        <f t="shared" si="3"/>
        <v>1007.48</v>
      </c>
      <c r="W60" s="20">
        <v>2.1000000000000001E-2</v>
      </c>
      <c r="X60" s="20">
        <f t="shared" si="4"/>
        <v>33.42</v>
      </c>
      <c r="Y60" s="91">
        <f t="shared" si="5"/>
        <v>86.89</v>
      </c>
      <c r="Z60" s="20">
        <v>1.7999999999999999E-2</v>
      </c>
      <c r="AA60" s="20">
        <f t="shared" si="561"/>
        <v>171.12</v>
      </c>
      <c r="AB60" s="91">
        <f t="shared" si="562"/>
        <v>381.32</v>
      </c>
      <c r="AC60" s="91">
        <f t="shared" si="6"/>
        <v>1475.69</v>
      </c>
      <c r="AD60" s="90">
        <f t="shared" si="7"/>
        <v>1.06</v>
      </c>
      <c r="AE60" s="92">
        <f t="shared" si="8"/>
        <v>17708.28</v>
      </c>
      <c r="AF60" s="20">
        <v>77</v>
      </c>
      <c r="AG60" s="20">
        <v>70</v>
      </c>
      <c r="AH60" s="20">
        <v>70</v>
      </c>
      <c r="AI60" s="20">
        <v>58</v>
      </c>
      <c r="AJ60" s="20">
        <v>1.6</v>
      </c>
      <c r="AK60" s="90">
        <f t="shared" si="9"/>
        <v>9.33</v>
      </c>
      <c r="AL60" s="90">
        <v>391.01</v>
      </c>
      <c r="AM60" s="90">
        <f t="shared" si="10"/>
        <v>3648.12</v>
      </c>
      <c r="AN60" s="20">
        <v>75</v>
      </c>
      <c r="AO60" s="20">
        <v>67</v>
      </c>
      <c r="AP60" s="20">
        <v>77</v>
      </c>
      <c r="AQ60" s="20">
        <v>75</v>
      </c>
      <c r="AR60" s="20">
        <v>67</v>
      </c>
      <c r="AS60" s="20">
        <v>70</v>
      </c>
      <c r="AT60" s="20">
        <f t="shared" si="11"/>
        <v>7</v>
      </c>
      <c r="AU60" s="20">
        <v>1.6</v>
      </c>
      <c r="AV60" s="90">
        <f t="shared" si="12"/>
        <v>10.27</v>
      </c>
      <c r="AW60" s="90">
        <f t="shared" ref="AW60" si="625">ROUND((187.84*6+189.92*6)/12,2)</f>
        <v>188.88</v>
      </c>
      <c r="AX60" s="90">
        <v>1762.88</v>
      </c>
      <c r="AY60" s="90">
        <f t="shared" si="14"/>
        <v>1.26</v>
      </c>
      <c r="AZ60" s="90">
        <f t="shared" si="15"/>
        <v>4014.37</v>
      </c>
      <c r="BA60" s="90">
        <f t="shared" si="16"/>
        <v>-2251.4899999999998</v>
      </c>
      <c r="BB60" s="90">
        <v>1762.88</v>
      </c>
      <c r="BC60" s="90">
        <v>1.26</v>
      </c>
      <c r="BD60" s="92">
        <f t="shared" si="17"/>
        <v>21154.560000000001</v>
      </c>
      <c r="BE60" s="90"/>
      <c r="BF60" s="90">
        <f t="shared" si="18"/>
        <v>0</v>
      </c>
      <c r="BG60" s="90">
        <v>391.01</v>
      </c>
      <c r="BH60" s="90">
        <f t="shared" si="19"/>
        <v>4015.67</v>
      </c>
      <c r="BI60" s="90">
        <f t="shared" si="20"/>
        <v>2.88</v>
      </c>
      <c r="BJ60" s="90">
        <f t="shared" si="21"/>
        <v>228.57142857142856</v>
      </c>
      <c r="BK60" s="90">
        <f t="shared" si="22"/>
        <v>4015.67</v>
      </c>
      <c r="BL60" s="90">
        <f t="shared" si="23"/>
        <v>2.88</v>
      </c>
      <c r="BM60" s="90"/>
      <c r="BN60" s="90">
        <f t="shared" si="24"/>
        <v>0</v>
      </c>
      <c r="BO60" s="90">
        <f t="shared" si="25"/>
        <v>4015.67</v>
      </c>
      <c r="BP60" s="90">
        <f t="shared" si="26"/>
        <v>2.8751127658051119</v>
      </c>
      <c r="BQ60" s="90"/>
      <c r="BR60" s="90">
        <f t="shared" si="27"/>
        <v>0</v>
      </c>
      <c r="BS60" s="90">
        <f t="shared" si="28"/>
        <v>4015.67</v>
      </c>
      <c r="BT60" s="90">
        <f t="shared" si="29"/>
        <v>2.8751127658051119</v>
      </c>
      <c r="BU60" s="90"/>
      <c r="BV60" s="93">
        <v>1.7027650000000001</v>
      </c>
      <c r="BW60" s="90">
        <f t="shared" si="30"/>
        <v>2378.2518755000001</v>
      </c>
      <c r="BX60" s="90">
        <f t="shared" si="31"/>
        <v>2520.9469880300003</v>
      </c>
      <c r="BY60" s="90"/>
      <c r="BZ60" s="90">
        <v>3261.9466192300001</v>
      </c>
      <c r="CA60" s="90">
        <v>0.37305430897000003</v>
      </c>
      <c r="CB60" s="90">
        <f t="shared" si="556"/>
        <v>521.04495333839907</v>
      </c>
      <c r="CC60" s="90">
        <v>0.37305430897000003</v>
      </c>
      <c r="CD60" s="90">
        <f t="shared" si="563"/>
        <v>521.04495333839907</v>
      </c>
      <c r="CE60" s="90">
        <f t="shared" si="564"/>
        <v>521.04495333839907</v>
      </c>
      <c r="CF60" s="90">
        <v>505.31752715180983</v>
      </c>
      <c r="CG60" s="90">
        <f>I60*0.3614316</f>
        <v>504.81151572000005</v>
      </c>
      <c r="CH60" s="90">
        <f t="shared" si="565"/>
        <v>504.81</v>
      </c>
      <c r="CI60" s="90">
        <f t="shared" ref="CI60" si="626">CH60/($SP60-$HL60)*($SX60-$HN60)</f>
        <v>531.86413113489607</v>
      </c>
      <c r="CJ60" s="90">
        <f t="shared" si="36"/>
        <v>532.57000000000005</v>
      </c>
      <c r="CK60" s="90">
        <f t="shared" si="37"/>
        <v>573.81433374344203</v>
      </c>
      <c r="CL60" s="90">
        <f t="shared" si="38"/>
        <v>573.81433374344203</v>
      </c>
      <c r="CM60" s="94">
        <v>0.14899999999999999</v>
      </c>
      <c r="CN60" s="90">
        <f t="shared" si="39"/>
        <v>354.35952944949997</v>
      </c>
      <c r="CO60" s="90">
        <f t="shared" si="40"/>
        <v>375.62110121646998</v>
      </c>
      <c r="CP60" s="90">
        <v>486.03064949999998</v>
      </c>
      <c r="CQ60" s="90">
        <v>5.0232736819999999E-2</v>
      </c>
      <c r="CR60" s="90">
        <f t="shared" si="557"/>
        <v>70.160063516494006</v>
      </c>
      <c r="CS60" s="90">
        <v>5.0232736819999999E-2</v>
      </c>
      <c r="CT60" s="90">
        <f t="shared" si="566"/>
        <v>70.160063516494006</v>
      </c>
      <c r="CU60" s="90">
        <f t="shared" si="567"/>
        <v>70.160063516494006</v>
      </c>
      <c r="CV60" s="90">
        <f>I60*0.1036752</f>
        <v>144.80315184</v>
      </c>
      <c r="CW60" s="90">
        <f t="shared" si="568"/>
        <v>144.80000000000001</v>
      </c>
      <c r="CX60" s="90">
        <f t="shared" ref="CX60" si="627">CW60/($SP60-$HL60)*($SX60-$HN60)</f>
        <v>152.56022303110666</v>
      </c>
      <c r="CY60" s="90">
        <f t="shared" si="45"/>
        <v>152.76</v>
      </c>
      <c r="CZ60" s="90">
        <f t="shared" si="46"/>
        <v>164.59324404439374</v>
      </c>
      <c r="DA60" s="90">
        <f t="shared" si="47"/>
        <v>164.59324404439374</v>
      </c>
      <c r="DB60" s="93">
        <v>1.1979820000000001</v>
      </c>
      <c r="DC60" s="90">
        <f t="shared" si="48"/>
        <v>1673.2214594000002</v>
      </c>
      <c r="DD60" s="90">
        <f t="shared" si="49"/>
        <v>1773.6147469640002</v>
      </c>
      <c r="DE60" s="90"/>
      <c r="DF60" s="90">
        <v>946.35436109458692</v>
      </c>
      <c r="DG60" s="90">
        <v>0.28219173505</v>
      </c>
      <c r="DH60" s="90">
        <f t="shared" si="558"/>
        <v>394.137196344335</v>
      </c>
      <c r="DI60" s="90">
        <v>0.28219173505</v>
      </c>
      <c r="DJ60" s="90">
        <f t="shared" si="569"/>
        <v>394.137196344335</v>
      </c>
      <c r="DK60" s="90">
        <f t="shared" si="570"/>
        <v>394.137196344335</v>
      </c>
      <c r="DL60" s="90">
        <f>I60*0.228267</f>
        <v>318.82051890000002</v>
      </c>
      <c r="DM60" s="90">
        <f t="shared" si="571"/>
        <v>318.82</v>
      </c>
      <c r="DN60" s="90">
        <f t="shared" ref="DN60" si="628">DM60/($SP60-$HL60)*($SX60-$HN60)</f>
        <v>335.9064247705623</v>
      </c>
      <c r="DO60" s="90">
        <f t="shared" si="54"/>
        <v>336.36</v>
      </c>
      <c r="DP60" s="90">
        <f t="shared" si="55"/>
        <v>362.40067725299457</v>
      </c>
      <c r="DQ60" s="90">
        <f t="shared" si="56"/>
        <v>362.40067725299457</v>
      </c>
      <c r="DR60" s="93">
        <v>4.2594E-2</v>
      </c>
      <c r="DS60" s="90">
        <f t="shared" si="57"/>
        <v>59.491039800000003</v>
      </c>
      <c r="DT60" s="90">
        <f t="shared" si="58"/>
        <v>63.060502188000008</v>
      </c>
      <c r="DU60" s="90">
        <v>35.794192353740364</v>
      </c>
      <c r="DV60" s="90">
        <v>1.366632888E-2</v>
      </c>
      <c r="DW60" s="90">
        <f t="shared" si="559"/>
        <v>19.087761546696001</v>
      </c>
      <c r="DX60" s="90">
        <v>1.366632888E-2</v>
      </c>
      <c r="DY60" s="90">
        <f t="shared" si="572"/>
        <v>19.087761546696001</v>
      </c>
      <c r="DZ60" s="90">
        <f t="shared" si="573"/>
        <v>19.087761546696001</v>
      </c>
      <c r="EA60" s="90">
        <f t="shared" si="574"/>
        <v>19.09</v>
      </c>
      <c r="EB60" s="90">
        <f t="shared" ref="EB60" si="629">EA60/($SP60-$HL60)*($SX60-$HN60)</f>
        <v>20.113084652374489</v>
      </c>
      <c r="EC60" s="90">
        <f t="shared" si="63"/>
        <v>20.14</v>
      </c>
      <c r="ED60" s="90">
        <f t="shared" si="64"/>
        <v>21.699482243145557</v>
      </c>
      <c r="EE60" s="90">
        <f t="shared" si="65"/>
        <v>21.699482243145557</v>
      </c>
      <c r="EF60" s="94">
        <v>0.85293354333000004</v>
      </c>
      <c r="EG60" s="90">
        <f t="shared" si="66"/>
        <v>1429.5507359628132</v>
      </c>
      <c r="EH60" s="90">
        <f t="shared" si="67"/>
        <v>1515.3237801205821</v>
      </c>
      <c r="EI60" s="90">
        <v>1223.6992124555916</v>
      </c>
      <c r="EJ60" s="90">
        <v>0.16695248382</v>
      </c>
      <c r="EK60" s="90">
        <f>$I60*EJ60</f>
        <v>233.18253415139401</v>
      </c>
      <c r="EL60" s="90">
        <v>0.16695248382</v>
      </c>
      <c r="EM60" s="90">
        <f t="shared" si="575"/>
        <v>233.18253415139401</v>
      </c>
      <c r="EN60" s="90">
        <f t="shared" si="576"/>
        <v>233.18253415139401</v>
      </c>
      <c r="EO60" s="90">
        <f>J60*0.1352461</f>
        <v>226.677873444</v>
      </c>
      <c r="EP60" s="90">
        <f t="shared" si="577"/>
        <v>226.68</v>
      </c>
      <c r="EQ60" s="90">
        <f t="shared" ref="EQ60" si="630">EP60/($SP60-$HL60)*($SX60-$HN60)</f>
        <v>238.82839334731531</v>
      </c>
      <c r="ER60" s="90">
        <f t="shared" si="72"/>
        <v>239.15</v>
      </c>
      <c r="ES60" s="90">
        <f t="shared" si="73"/>
        <v>257.66572209933133</v>
      </c>
      <c r="ET60" s="90">
        <f t="shared" si="74"/>
        <v>257.66572209933133</v>
      </c>
      <c r="EU60" s="94">
        <v>0.14899999999999999</v>
      </c>
      <c r="EV60" s="90">
        <f t="shared" si="75"/>
        <v>213.00305965845916</v>
      </c>
      <c r="EW60" s="90">
        <f t="shared" si="76"/>
        <v>225.78324323796673</v>
      </c>
      <c r="EX60" s="90">
        <v>182.35550662461551</v>
      </c>
      <c r="EY60" s="90">
        <v>2.4876671749999999E-2</v>
      </c>
      <c r="EZ60" s="90">
        <f>$I60*EY60</f>
        <v>34.745247433225003</v>
      </c>
      <c r="FA60" s="90">
        <v>2.4876671749999999E-2</v>
      </c>
      <c r="FB60" s="90">
        <f t="shared" si="578"/>
        <v>34.745247433225003</v>
      </c>
      <c r="FC60" s="90">
        <f t="shared" si="579"/>
        <v>34.745247433225003</v>
      </c>
      <c r="FD60" s="90">
        <f>J60*0.041803</f>
        <v>70.06350012</v>
      </c>
      <c r="FE60" s="90">
        <f t="shared" si="580"/>
        <v>70.06</v>
      </c>
      <c r="FF60" s="90">
        <f t="shared" ref="FF60" si="631">FE60/($SP60-$HL60)*($SX60-$HN60)</f>
        <v>73.814704596404226</v>
      </c>
      <c r="FG60" s="90">
        <f t="shared" si="81"/>
        <v>73.91</v>
      </c>
      <c r="FH60" s="90">
        <f t="shared" si="82"/>
        <v>79.63675882424188</v>
      </c>
      <c r="FI60" s="90">
        <f t="shared" si="83"/>
        <v>79.63675882424188</v>
      </c>
      <c r="FJ60" s="93">
        <v>0.49981642240000002</v>
      </c>
      <c r="FK60" s="90">
        <f t="shared" si="84"/>
        <v>837.71231659929606</v>
      </c>
      <c r="FL60" s="90">
        <f t="shared" si="85"/>
        <v>887.97505559525382</v>
      </c>
      <c r="FM60" s="90">
        <v>675.01840048371446</v>
      </c>
      <c r="FN60" s="90">
        <v>0.10761684168000001</v>
      </c>
      <c r="FO60" s="90">
        <f>$I60*FN60</f>
        <v>150.30844277445601</v>
      </c>
      <c r="FP60" s="90">
        <v>0.10761684168000001</v>
      </c>
      <c r="FQ60" s="90">
        <f t="shared" si="581"/>
        <v>150.30844277445601</v>
      </c>
      <c r="FR60" s="90">
        <f t="shared" si="582"/>
        <v>150.30844277445601</v>
      </c>
      <c r="FS60" s="90">
        <f>J60*0.069509</f>
        <v>116.49986436</v>
      </c>
      <c r="FT60" s="90">
        <f t="shared" si="89"/>
        <v>122.09</v>
      </c>
      <c r="FU60" s="90">
        <f>J60*0.081738</f>
        <v>136.99615752</v>
      </c>
      <c r="FV60" s="90">
        <f t="shared" si="583"/>
        <v>137</v>
      </c>
      <c r="FW60" s="90">
        <f t="shared" ref="FW60" si="632">FV60/($SP60-$HL60)*($SX60-$HN60)</f>
        <v>144.34219996727631</v>
      </c>
      <c r="FX60" s="90">
        <f t="shared" si="91"/>
        <v>144.54</v>
      </c>
      <c r="FY60" s="90">
        <f t="shared" si="92"/>
        <v>155.7270333845438</v>
      </c>
      <c r="FZ60" s="90">
        <f t="shared" si="93"/>
        <v>155.7270333845438</v>
      </c>
      <c r="GA60" s="94">
        <v>1.352261642E-2</v>
      </c>
      <c r="GB60" s="90">
        <f t="shared" si="94"/>
        <v>22.664446024576797</v>
      </c>
      <c r="GC60" s="90">
        <f t="shared" si="95"/>
        <v>24.024312786051407</v>
      </c>
      <c r="GD60" s="90">
        <v>19.703355570793093</v>
      </c>
      <c r="GE60" s="90">
        <v>2.9119942899999999E-3</v>
      </c>
      <c r="GF60" s="90">
        <f>$I60*GE60</f>
        <v>4.0671824248429997</v>
      </c>
      <c r="GG60" s="90">
        <v>2.9119942899999999E-3</v>
      </c>
      <c r="GH60" s="90">
        <f t="shared" si="584"/>
        <v>4.0671824248429997</v>
      </c>
      <c r="GI60" s="90">
        <f t="shared" si="585"/>
        <v>4.0671824248429997</v>
      </c>
      <c r="GJ60" s="90">
        <f t="shared" si="586"/>
        <v>4.07</v>
      </c>
      <c r="GK60" s="90">
        <f t="shared" ref="GK60" si="633">GJ60/($SP60-$HL60)*($SX60-$HN60)</f>
        <v>4.2881222909986469</v>
      </c>
      <c r="GL60" s="90">
        <f t="shared" si="100"/>
        <v>4.29</v>
      </c>
      <c r="GM60" s="90">
        <f t="shared" si="101"/>
        <v>4.626343254562725</v>
      </c>
      <c r="GN60" s="90">
        <f t="shared" si="102"/>
        <v>4.626343254562725</v>
      </c>
      <c r="GO60" s="90">
        <v>5443.2</v>
      </c>
      <c r="GP60" s="90">
        <f t="shared" si="622"/>
        <v>453.59999999999997</v>
      </c>
      <c r="GQ60" s="90">
        <f t="shared" si="614"/>
        <v>4403.7</v>
      </c>
      <c r="GR60" s="90">
        <f t="shared" si="104"/>
        <v>366.97499999999997</v>
      </c>
      <c r="GS60" s="90">
        <f t="shared" si="105"/>
        <v>820.57499999999993</v>
      </c>
      <c r="GT60" s="90">
        <f t="shared" si="106"/>
        <v>0.59</v>
      </c>
      <c r="GU60" s="90">
        <v>6217.56</v>
      </c>
      <c r="GV60" s="90">
        <f t="shared" si="615"/>
        <v>4179.24</v>
      </c>
      <c r="GW60" s="90">
        <f t="shared" si="107"/>
        <v>866.4</v>
      </c>
      <c r="GX60" s="90">
        <f t="shared" si="108"/>
        <v>0.62</v>
      </c>
      <c r="GY60" s="90">
        <v>11111.58</v>
      </c>
      <c r="GZ60" s="90">
        <f t="shared" si="616"/>
        <v>4449.42</v>
      </c>
      <c r="HA60" s="90">
        <f t="shared" si="109"/>
        <v>1296.75</v>
      </c>
      <c r="HB60" s="90">
        <f t="shared" si="110"/>
        <v>0.93</v>
      </c>
      <c r="HC60" s="90">
        <v>11111.58</v>
      </c>
      <c r="HD60" s="90">
        <f t="shared" si="617"/>
        <v>4449.42</v>
      </c>
      <c r="HE60" s="90">
        <f t="shared" si="111"/>
        <v>1296.75</v>
      </c>
      <c r="HF60" s="90">
        <f t="shared" si="112"/>
        <v>0.93</v>
      </c>
      <c r="HG60" s="90"/>
      <c r="HH60" s="90"/>
      <c r="HI60" s="90">
        <v>0.96</v>
      </c>
      <c r="HJ60" s="90">
        <f t="shared" si="113"/>
        <v>1340.8320000000001</v>
      </c>
      <c r="HK60" s="90">
        <f t="shared" si="114"/>
        <v>1.0099233908498604</v>
      </c>
      <c r="HL60" s="90">
        <f t="shared" si="587"/>
        <v>1410.56</v>
      </c>
      <c r="HM60" s="90">
        <v>1.07</v>
      </c>
      <c r="HN60" s="90">
        <f t="shared" si="116"/>
        <v>1494.4690000000001</v>
      </c>
      <c r="HO60" s="90">
        <v>1.1499999999999999</v>
      </c>
      <c r="HP60" s="90">
        <f t="shared" si="117"/>
        <v>1606.21</v>
      </c>
      <c r="HQ60" s="90">
        <v>1.1499999999999999</v>
      </c>
      <c r="HR60" s="90">
        <f t="shared" si="118"/>
        <v>1606.21</v>
      </c>
      <c r="HS60" s="90">
        <v>0.96</v>
      </c>
      <c r="HT60" s="90">
        <f t="shared" si="588"/>
        <v>1340.8320000000001</v>
      </c>
      <c r="HU60" s="90" t="e">
        <f>HT60*#REF!</f>
        <v>#REF!</v>
      </c>
      <c r="HV60" s="90">
        <v>2.83</v>
      </c>
      <c r="HW60" s="20">
        <v>3.49</v>
      </c>
      <c r="HX60" s="90">
        <f t="shared" si="120"/>
        <v>4874.4830000000002</v>
      </c>
      <c r="HY60" s="90">
        <v>1.06</v>
      </c>
      <c r="HZ60" s="90">
        <f t="shared" si="121"/>
        <v>5166.9519800000007</v>
      </c>
      <c r="IA60" s="90">
        <f t="shared" si="122"/>
        <v>3.7</v>
      </c>
      <c r="IB60" s="90">
        <f t="shared" si="123"/>
        <v>3.88</v>
      </c>
      <c r="IC60" s="90">
        <f t="shared" si="124"/>
        <v>5419.1959999999999</v>
      </c>
      <c r="ID60" s="90">
        <f t="shared" si="125"/>
        <v>4.09</v>
      </c>
      <c r="IE60" s="90">
        <f t="shared" si="126"/>
        <v>5712.5</v>
      </c>
      <c r="IF60" s="90">
        <f t="shared" si="127"/>
        <v>4.09</v>
      </c>
      <c r="IG60" s="92">
        <f t="shared" si="128"/>
        <v>68550</v>
      </c>
      <c r="IH60" s="90">
        <v>4.3899999999999997</v>
      </c>
      <c r="II60" s="90">
        <f t="shared" si="129"/>
        <v>4.6100000000000003</v>
      </c>
      <c r="IJ60" s="90">
        <f t="shared" si="130"/>
        <v>6438.79</v>
      </c>
      <c r="IK60" s="90">
        <f t="shared" si="131"/>
        <v>4.6100000000000003</v>
      </c>
      <c r="IL60" s="90">
        <f t="shared" si="132"/>
        <v>6438.79</v>
      </c>
      <c r="IM60" s="90">
        <f t="shared" si="133"/>
        <v>4.6100000000000003</v>
      </c>
      <c r="IN60" s="90">
        <f t="shared" si="134"/>
        <v>6438.79</v>
      </c>
      <c r="IO60" s="90">
        <f t="shared" si="135"/>
        <v>4.6100000000000003</v>
      </c>
      <c r="IP60" s="93">
        <v>0.37052404126999999</v>
      </c>
      <c r="IQ60" s="90">
        <f t="shared" si="136"/>
        <v>621.01311413017072</v>
      </c>
      <c r="IR60" s="90">
        <f t="shared" si="137"/>
        <v>658.27390097798104</v>
      </c>
      <c r="IS60" s="90">
        <v>18121.54</v>
      </c>
      <c r="IT60" s="90">
        <v>509.05</v>
      </c>
      <c r="IU60" s="90"/>
      <c r="IV60" s="90">
        <v>332.34318937573738</v>
      </c>
      <c r="IW60" s="90">
        <v>1.89119998663</v>
      </c>
      <c r="IX60" s="90">
        <f>$I60*IW60</f>
        <v>2641.4390213261213</v>
      </c>
      <c r="IY60" s="90">
        <v>1.89119998663</v>
      </c>
      <c r="IZ60" s="90">
        <f t="shared" si="139"/>
        <v>2641.4390213261213</v>
      </c>
      <c r="JA60" s="90">
        <f t="shared" si="589"/>
        <v>2571.6</v>
      </c>
      <c r="JB60" s="90">
        <f t="shared" ref="JB60" si="634">JA60/($SP60-$HL60)*($SX60-$HN60)</f>
        <v>2709.4189885828305</v>
      </c>
      <c r="JC60" s="90">
        <f t="shared" si="141"/>
        <v>2713.04</v>
      </c>
      <c r="JD60" s="90">
        <f t="shared" si="142"/>
        <v>2923.1214529320646</v>
      </c>
      <c r="JE60" s="90">
        <f t="shared" si="143"/>
        <v>2923.1214529320646</v>
      </c>
      <c r="JF60" s="93">
        <v>4.2278943710000003E-2</v>
      </c>
      <c r="JG60" s="90">
        <f t="shared" si="144"/>
        <v>70.861200815708401</v>
      </c>
      <c r="JH60" s="90">
        <f t="shared" si="145"/>
        <v>75.11287286465091</v>
      </c>
      <c r="JI60" s="20">
        <v>101.71</v>
      </c>
      <c r="JJ60" s="90">
        <v>42.294825137929784</v>
      </c>
      <c r="JK60" s="90">
        <v>0.21559114040999999</v>
      </c>
      <c r="JL60" s="90">
        <f>$I60*JK60</f>
        <v>301.11614581064703</v>
      </c>
      <c r="JM60" s="90">
        <v>0.21559114040999999</v>
      </c>
      <c r="JN60" s="90">
        <f t="shared" si="147"/>
        <v>301.11614581064703</v>
      </c>
      <c r="JO60" s="90">
        <f t="shared" si="590"/>
        <v>301.12</v>
      </c>
      <c r="JP60" s="90">
        <f t="shared" ref="JP60" si="635">JO60/($SP60-$HL60)*($SX60-$HN60)</f>
        <v>317.25783397187041</v>
      </c>
      <c r="JQ60" s="90">
        <f t="shared" si="149"/>
        <v>317.68</v>
      </c>
      <c r="JR60" s="90">
        <f t="shared" si="150"/>
        <v>342.28119921718127</v>
      </c>
      <c r="JS60" s="90">
        <f t="shared" si="151"/>
        <v>342.28119921718127</v>
      </c>
      <c r="JT60" s="93">
        <v>7.3220517000000002E-3</v>
      </c>
      <c r="JU60" s="90">
        <f t="shared" si="152"/>
        <v>12.272051531268</v>
      </c>
      <c r="JV60" s="90">
        <f t="shared" si="591"/>
        <v>12.27</v>
      </c>
      <c r="JW60" s="90">
        <f t="shared" ref="JW60" si="636">JV60/($SP60-$HL60)*($SX60-$HN60)</f>
        <v>12.927582435025403</v>
      </c>
      <c r="JX60" s="90">
        <f t="shared" si="154"/>
        <v>12.94</v>
      </c>
      <c r="JY60" s="90">
        <f t="shared" si="155"/>
        <v>13.947231384148557</v>
      </c>
      <c r="JZ60" s="90">
        <f t="shared" si="156"/>
        <v>13.947231384148557</v>
      </c>
      <c r="KA60" s="90">
        <v>1.1499999999999999</v>
      </c>
      <c r="KB60" s="90">
        <v>12.272051531268</v>
      </c>
      <c r="KC60" s="90" t="e">
        <f>KB60*#REF!</f>
        <v>#REF!</v>
      </c>
      <c r="KD60" s="90">
        <v>17952.740000000002</v>
      </c>
      <c r="KE60" s="90">
        <v>22700.14</v>
      </c>
      <c r="KF60" s="90"/>
      <c r="KG60" s="90">
        <f t="shared" si="550"/>
        <v>1766.0415924254457</v>
      </c>
      <c r="KH60" s="90" t="e">
        <f>KG60/(BW60+#REF!)*(CB60+#REF!)</f>
        <v>#REF!</v>
      </c>
      <c r="KI60" s="90">
        <v>0.8</v>
      </c>
      <c r="KJ60" s="94"/>
      <c r="KK60" s="90">
        <f t="shared" si="159"/>
        <v>0</v>
      </c>
      <c r="KL60" s="93"/>
      <c r="KM60" s="90">
        <v>2412.3874772008644</v>
      </c>
      <c r="KN60" s="90">
        <f t="shared" si="161"/>
        <v>2557.1307258329166</v>
      </c>
      <c r="KO60" s="90" t="e">
        <f>BW60+CN60+DC60+DS60+EG60+EV60+FK60+GB60+#REF!+#REF!+HJ60+HX60+IQ60+JG60+JU60+KK60+KM60</f>
        <v>#REF!</v>
      </c>
      <c r="KP60" s="90">
        <v>1903.7928366346307</v>
      </c>
      <c r="KQ60" s="90">
        <v>0.28334929455000002</v>
      </c>
      <c r="KR60" s="90">
        <f t="shared" si="560"/>
        <v>395.75395969798507</v>
      </c>
      <c r="KS60" s="90">
        <v>0.28334929455000002</v>
      </c>
      <c r="KT60" s="90">
        <f t="shared" si="592"/>
        <v>395.75395969798507</v>
      </c>
      <c r="KU60" s="90">
        <f t="shared" si="593"/>
        <v>395.75395969798507</v>
      </c>
      <c r="KV60" s="90">
        <f t="shared" si="594"/>
        <v>395.75</v>
      </c>
      <c r="KW60" s="90">
        <f t="shared" ref="KW60" si="637">KV60/($SP60-$HL60)*($SX60-$HN60)</f>
        <v>416.95931121934018</v>
      </c>
      <c r="KX60" s="90">
        <f t="shared" si="166"/>
        <v>417.52</v>
      </c>
      <c r="KY60" s="90">
        <f t="shared" si="167"/>
        <v>449.84652161995041</v>
      </c>
      <c r="KZ60" s="90">
        <f t="shared" si="168"/>
        <v>449.84652161995041</v>
      </c>
      <c r="LA60" s="90">
        <f t="shared" si="169"/>
        <v>6452.75</v>
      </c>
      <c r="LB60" s="90">
        <f t="shared" si="170"/>
        <v>4.62</v>
      </c>
      <c r="LC60" s="92">
        <f t="shared" si="171"/>
        <v>77433</v>
      </c>
      <c r="LD60" s="92">
        <v>4.97</v>
      </c>
      <c r="LE60" s="92">
        <v>6941.6000000000013</v>
      </c>
      <c r="LF60" s="90">
        <f t="shared" si="172"/>
        <v>4.9800000000000004</v>
      </c>
      <c r="LG60" s="90">
        <f t="shared" si="173"/>
        <v>6955.57</v>
      </c>
      <c r="LH60" s="90">
        <f t="shared" si="174"/>
        <v>6936.7062499999993</v>
      </c>
      <c r="LI60" s="90">
        <f t="shared" si="175"/>
        <v>4.97</v>
      </c>
      <c r="LJ60" s="90">
        <f t="shared" si="176"/>
        <v>6955.5700000000006</v>
      </c>
      <c r="LK60" s="90">
        <f t="shared" si="177"/>
        <v>4.9800000000000004</v>
      </c>
      <c r="LL60" s="90">
        <f t="shared" si="178"/>
        <v>6955.5700000000006</v>
      </c>
      <c r="LM60" s="90">
        <f t="shared" si="179"/>
        <v>4.9800000000000004</v>
      </c>
      <c r="LN60" s="95">
        <v>0.46</v>
      </c>
      <c r="LO60" s="95">
        <f t="shared" si="180"/>
        <v>642.48</v>
      </c>
      <c r="LP60" s="95"/>
      <c r="LQ60" s="95">
        <f t="shared" si="181"/>
        <v>0</v>
      </c>
      <c r="LR60" s="90"/>
      <c r="LS60" s="90"/>
      <c r="LT60" s="90">
        <f t="shared" si="182"/>
        <v>0</v>
      </c>
      <c r="LU60" s="90"/>
      <c r="LV60" s="90">
        <f t="shared" si="183"/>
        <v>0</v>
      </c>
      <c r="LW60" s="90">
        <f t="shared" si="184"/>
        <v>0</v>
      </c>
      <c r="LX60" s="90"/>
      <c r="LY60" s="90"/>
      <c r="LZ60" s="90">
        <f t="shared" si="185"/>
        <v>0</v>
      </c>
      <c r="MA60" s="90"/>
      <c r="MB60" s="90">
        <f t="shared" si="186"/>
        <v>0</v>
      </c>
      <c r="MC60" s="90">
        <f t="shared" si="187"/>
        <v>0</v>
      </c>
      <c r="MD60" s="90"/>
      <c r="ME60" s="90"/>
      <c r="MF60" s="90">
        <f t="shared" si="188"/>
        <v>0</v>
      </c>
      <c r="MG60" s="90"/>
      <c r="MH60" s="90">
        <f t="shared" si="189"/>
        <v>0</v>
      </c>
      <c r="MI60" s="90">
        <f t="shared" si="190"/>
        <v>0</v>
      </c>
      <c r="MJ60" s="90"/>
      <c r="MK60" s="90"/>
      <c r="ML60" s="90">
        <f t="shared" si="191"/>
        <v>0</v>
      </c>
      <c r="MM60" s="90"/>
      <c r="MN60" s="90">
        <f t="shared" si="192"/>
        <v>0</v>
      </c>
      <c r="MO60" s="90">
        <f t="shared" si="193"/>
        <v>0</v>
      </c>
      <c r="MP60" s="90">
        <f t="shared" si="194"/>
        <v>0</v>
      </c>
      <c r="MQ60" s="90">
        <f t="shared" si="195"/>
        <v>0</v>
      </c>
      <c r="MR60" s="90">
        <f t="shared" si="196"/>
        <v>0</v>
      </c>
      <c r="MS60" s="90">
        <f t="shared" si="197"/>
        <v>0</v>
      </c>
      <c r="MT60" s="95"/>
      <c r="MU60" s="95">
        <f t="shared" si="198"/>
        <v>0</v>
      </c>
      <c r="MV60" s="92">
        <f t="shared" si="199"/>
        <v>0</v>
      </c>
      <c r="MW60" s="95"/>
      <c r="MX60" s="95">
        <f t="shared" si="200"/>
        <v>0</v>
      </c>
      <c r="MY60" s="95"/>
      <c r="MZ60" s="95">
        <f t="shared" si="201"/>
        <v>0</v>
      </c>
      <c r="NA60" s="95"/>
      <c r="NB60" s="95">
        <f t="shared" si="202"/>
        <v>0</v>
      </c>
      <c r="NC60" s="92">
        <f t="shared" si="203"/>
        <v>0</v>
      </c>
      <c r="ND60" s="95"/>
      <c r="NE60" s="95">
        <f t="shared" si="204"/>
        <v>0</v>
      </c>
      <c r="NF60" s="95"/>
      <c r="NG60" s="95">
        <f t="shared" si="205"/>
        <v>0</v>
      </c>
      <c r="NH60" s="95"/>
      <c r="NI60" s="95"/>
      <c r="NJ60" s="95">
        <f t="shared" si="206"/>
        <v>0</v>
      </c>
      <c r="NK60" s="92">
        <f t="shared" si="207"/>
        <v>0</v>
      </c>
      <c r="NL60" s="95"/>
      <c r="NM60" s="95">
        <f t="shared" si="208"/>
        <v>0</v>
      </c>
      <c r="NN60" s="95"/>
      <c r="NO60" s="95">
        <f t="shared" si="209"/>
        <v>0</v>
      </c>
      <c r="NP60" s="95"/>
      <c r="NQ60" s="95">
        <f t="shared" si="210"/>
        <v>0</v>
      </c>
      <c r="NR60" s="92">
        <f t="shared" si="211"/>
        <v>0</v>
      </c>
      <c r="NS60" s="95"/>
      <c r="NT60" s="95">
        <f t="shared" si="212"/>
        <v>0</v>
      </c>
      <c r="NU60" s="95"/>
      <c r="NV60" s="95">
        <f t="shared" si="213"/>
        <v>0</v>
      </c>
      <c r="NW60" s="95"/>
      <c r="NX60" s="95">
        <f t="shared" si="214"/>
        <v>0</v>
      </c>
      <c r="NY60" s="92">
        <f t="shared" si="215"/>
        <v>0</v>
      </c>
      <c r="NZ60" s="112">
        <v>0.8</v>
      </c>
      <c r="OA60" s="95">
        <f t="shared" si="216"/>
        <v>1117.3599999999999</v>
      </c>
      <c r="OB60" s="112">
        <f t="shared" si="618"/>
        <v>0.78</v>
      </c>
      <c r="OC60" s="95">
        <f t="shared" si="217"/>
        <v>1089.43</v>
      </c>
      <c r="OD60" s="90">
        <v>6061.68</v>
      </c>
      <c r="OE60" s="90">
        <f t="shared" si="218"/>
        <v>4.34</v>
      </c>
      <c r="OF60" s="92">
        <f t="shared" si="219"/>
        <v>72740.160000000003</v>
      </c>
      <c r="OG60" s="96">
        <v>1762.88</v>
      </c>
      <c r="OH60" s="96">
        <v>1.26</v>
      </c>
      <c r="OI60" s="90">
        <v>7821.52</v>
      </c>
      <c r="OJ60" s="90">
        <f t="shared" si="220"/>
        <v>5.6</v>
      </c>
      <c r="OK60" s="90">
        <f t="shared" si="221"/>
        <v>7824.56</v>
      </c>
      <c r="OL60" s="90">
        <f t="shared" si="222"/>
        <v>5.6</v>
      </c>
      <c r="OM60" s="90">
        <f t="shared" si="223"/>
        <v>0</v>
      </c>
      <c r="ON60" s="90">
        <v>6061.68</v>
      </c>
      <c r="OO60" s="90">
        <f t="shared" si="224"/>
        <v>4.34</v>
      </c>
      <c r="OP60" s="90">
        <v>6058.64</v>
      </c>
      <c r="OQ60" s="90">
        <v>4.34</v>
      </c>
      <c r="OR60" s="90">
        <f t="shared" si="225"/>
        <v>0</v>
      </c>
      <c r="OS60" s="90">
        <f t="shared" si="226"/>
        <v>4.34</v>
      </c>
      <c r="OT60" s="90">
        <v>6061.68</v>
      </c>
      <c r="OU60" s="90">
        <f t="shared" si="227"/>
        <v>4.34</v>
      </c>
      <c r="OV60" s="97">
        <v>6061.68</v>
      </c>
      <c r="OW60" s="90">
        <f t="shared" si="619"/>
        <v>9651.2000000000007</v>
      </c>
      <c r="OX60" s="90">
        <f t="shared" si="229"/>
        <v>6.91</v>
      </c>
      <c r="OY60" s="90">
        <f>OU60-1+1+3.66+0.9-0.07-2+0.08</f>
        <v>6.91</v>
      </c>
      <c r="OZ60" s="90"/>
      <c r="PA60" s="90"/>
      <c r="PB60" s="95">
        <f t="shared" si="230"/>
        <v>0</v>
      </c>
      <c r="PC60" s="92">
        <f t="shared" si="231"/>
        <v>0</v>
      </c>
      <c r="PD60" s="90"/>
      <c r="PE60" s="95">
        <f t="shared" si="232"/>
        <v>0</v>
      </c>
      <c r="PF60" s="90">
        <f t="shared" si="233"/>
        <v>20810.385000000002</v>
      </c>
      <c r="PG60" s="90">
        <f t="shared" si="234"/>
        <v>14.9</v>
      </c>
      <c r="PH60" s="90">
        <f t="shared" si="235"/>
        <v>30117.82</v>
      </c>
      <c r="PI60" s="90">
        <f t="shared" si="236"/>
        <v>21.56</v>
      </c>
      <c r="PJ60" s="90">
        <f t="shared" si="237"/>
        <v>30117.82</v>
      </c>
      <c r="PK60" s="90">
        <f t="shared" si="238"/>
        <v>21.56</v>
      </c>
      <c r="PL60" s="90"/>
      <c r="PM60" s="90">
        <f t="shared" si="239"/>
        <v>624.30999999999995</v>
      </c>
      <c r="PN60" s="90">
        <f t="shared" si="240"/>
        <v>0.45</v>
      </c>
      <c r="PO60" s="92">
        <f t="shared" si="241"/>
        <v>7491.7199999999993</v>
      </c>
      <c r="PP60" s="90">
        <f t="shared" si="242"/>
        <v>903.53</v>
      </c>
      <c r="PQ60" s="90">
        <f t="shared" si="243"/>
        <v>0.65</v>
      </c>
      <c r="PR60" s="90">
        <f t="shared" si="244"/>
        <v>903.53</v>
      </c>
      <c r="PS60" s="90">
        <f t="shared" si="245"/>
        <v>0.65</v>
      </c>
      <c r="PT60" s="90">
        <f t="shared" si="246"/>
        <v>21434.695000000003</v>
      </c>
      <c r="PU60" s="90">
        <f t="shared" si="247"/>
        <v>15.35</v>
      </c>
      <c r="PV60" s="90">
        <f t="shared" si="248"/>
        <v>31021.35</v>
      </c>
      <c r="PW60" s="90">
        <f t="shared" si="249"/>
        <v>22.21</v>
      </c>
      <c r="PX60" s="90">
        <f t="shared" si="250"/>
        <v>31021.35</v>
      </c>
      <c r="PY60" s="90">
        <f t="shared" si="251"/>
        <v>22.21</v>
      </c>
      <c r="PZ60" s="108">
        <f>ROUND((PT60*1/99),2)-0.03</f>
        <v>216.48</v>
      </c>
      <c r="QA60" s="90">
        <f t="shared" si="253"/>
        <v>0.15</v>
      </c>
      <c r="QB60" s="92">
        <f t="shared" si="254"/>
        <v>2597.7599999999998</v>
      </c>
      <c r="QC60" s="90">
        <f t="shared" si="255"/>
        <v>313.35000000000002</v>
      </c>
      <c r="QD60" s="90">
        <f t="shared" si="256"/>
        <v>0.22</v>
      </c>
      <c r="QE60" s="90">
        <f t="shared" si="257"/>
        <v>313.35000000000002</v>
      </c>
      <c r="QF60" s="90">
        <f t="shared" si="258"/>
        <v>0.22</v>
      </c>
      <c r="QG60" s="90">
        <f t="shared" si="259"/>
        <v>21651.175000000003</v>
      </c>
      <c r="QH60" s="90">
        <f t="shared" si="260"/>
        <v>15.5</v>
      </c>
      <c r="QI60" s="92">
        <f t="shared" si="261"/>
        <v>259814.10000000003</v>
      </c>
      <c r="QJ60" s="90">
        <f t="shared" si="262"/>
        <v>432.45931121934018</v>
      </c>
      <c r="QK60" s="98">
        <f t="shared" si="263"/>
        <v>0.30089999999999995</v>
      </c>
      <c r="QL60" s="90">
        <f t="shared" si="264"/>
        <v>420.26702999999992</v>
      </c>
      <c r="QM60" s="90">
        <f t="shared" si="265"/>
        <v>0.14560000000000001</v>
      </c>
      <c r="QN60" s="90">
        <f t="shared" si="266"/>
        <v>203.35952</v>
      </c>
      <c r="QO60" s="90">
        <v>0.26789999999999997</v>
      </c>
      <c r="QP60" s="90">
        <v>0.17860000000000001</v>
      </c>
      <c r="QQ60" s="97">
        <f t="shared" si="267"/>
        <v>623.62654999999995</v>
      </c>
      <c r="QR60" s="97">
        <v>623.62654999999995</v>
      </c>
      <c r="QS60" s="97">
        <f t="shared" si="268"/>
        <v>0</v>
      </c>
      <c r="QT60" s="90"/>
      <c r="QU60" s="90">
        <f t="shared" si="269"/>
        <v>0.14560000000000001</v>
      </c>
      <c r="QV60" s="90">
        <f t="shared" si="270"/>
        <v>203.35952</v>
      </c>
      <c r="QW60" s="90">
        <f t="shared" si="271"/>
        <v>623.62654999999995</v>
      </c>
      <c r="QX60" s="90">
        <f t="shared" si="272"/>
        <v>0.44649999999999995</v>
      </c>
      <c r="QY60" s="90"/>
      <c r="QZ60" s="90"/>
      <c r="RA60" s="90"/>
      <c r="RB60" s="90">
        <v>6118.04</v>
      </c>
      <c r="RC60" s="97">
        <f t="shared" si="273"/>
        <v>21651.175000000003</v>
      </c>
      <c r="RD60" s="97">
        <f t="shared" si="274"/>
        <v>15.5</v>
      </c>
      <c r="RE60" s="90">
        <f t="shared" si="275"/>
        <v>31334.699999999997</v>
      </c>
      <c r="RF60" s="90">
        <f t="shared" si="276"/>
        <v>22.43</v>
      </c>
      <c r="RG60" s="90">
        <f t="shared" si="277"/>
        <v>144.70967741935485</v>
      </c>
      <c r="RH60" s="90">
        <f t="shared" si="278"/>
        <v>31334.699999999997</v>
      </c>
      <c r="RI60" s="90">
        <f t="shared" si="279"/>
        <v>22.43</v>
      </c>
      <c r="RJ60" s="90">
        <v>19.48</v>
      </c>
      <c r="RK60" s="90">
        <v>0</v>
      </c>
      <c r="RL60" s="90">
        <f t="shared" si="280"/>
        <v>2.9499999999999993</v>
      </c>
      <c r="RM60" s="90">
        <f t="shared" si="281"/>
        <v>120.38626609442061</v>
      </c>
      <c r="RN60" s="90">
        <f t="shared" si="282"/>
        <v>15770.795</v>
      </c>
      <c r="RO60" s="90"/>
      <c r="RP60" s="90"/>
      <c r="RQ60" s="99">
        <v>3360</v>
      </c>
      <c r="RR60" s="90">
        <f t="shared" si="283"/>
        <v>15589.494999999999</v>
      </c>
      <c r="RS60" s="90">
        <f t="shared" si="284"/>
        <v>11.161663206128731</v>
      </c>
      <c r="RT60" s="20">
        <v>14.56</v>
      </c>
      <c r="RU60" s="90">
        <f t="shared" si="285"/>
        <v>20335.952000000001</v>
      </c>
      <c r="RV60" s="90">
        <f t="shared" si="286"/>
        <v>0.30962934862127883</v>
      </c>
      <c r="RW60" s="20">
        <v>13.49</v>
      </c>
      <c r="RX60" s="90">
        <f t="shared" si="287"/>
        <v>14.1645</v>
      </c>
      <c r="RY60" s="90">
        <f t="shared" si="288"/>
        <v>19783.557150000001</v>
      </c>
      <c r="RZ60" s="90">
        <f t="shared" si="289"/>
        <v>6118.146559895863</v>
      </c>
      <c r="SA60" s="90">
        <f t="shared" si="290"/>
        <v>1822.4873412278262</v>
      </c>
      <c r="SB60" s="90">
        <f t="shared" si="291"/>
        <v>1822.4873412278262</v>
      </c>
      <c r="SC60" s="90">
        <f t="shared" si="292"/>
        <v>6118.146559895863</v>
      </c>
      <c r="SD60" s="90">
        <f t="shared" si="293"/>
        <v>6118.146559895863</v>
      </c>
      <c r="SE60" s="90">
        <f t="shared" si="294"/>
        <v>6116.7396380575601</v>
      </c>
      <c r="SF60" s="90">
        <f t="shared" si="295"/>
        <v>6096.7505581533696</v>
      </c>
      <c r="SG60" s="90">
        <f t="shared" si="296"/>
        <v>21.396001742493354</v>
      </c>
      <c r="SH60" s="90">
        <f t="shared" si="297"/>
        <v>6117.2468513133699</v>
      </c>
      <c r="SI60" s="90">
        <f t="shared" si="298"/>
        <v>4.3804299848900001</v>
      </c>
      <c r="SJ60" s="100">
        <f t="shared" si="299"/>
        <v>4.365111017507961</v>
      </c>
      <c r="SK60" s="100"/>
      <c r="SL60" s="100"/>
      <c r="SM60" s="90"/>
      <c r="SN60" s="90">
        <f t="shared" si="300"/>
        <v>6193.7500000000009</v>
      </c>
      <c r="SO60" s="90" t="e">
        <f>RU60-#REF!-#REF!-HZ60-LT60-LZ60-MF60-ML60-QL60-QN60-SD60</f>
        <v>#REF!</v>
      </c>
      <c r="SP60" s="90">
        <f t="shared" si="301"/>
        <v>6116.63</v>
      </c>
      <c r="SQ60" s="90">
        <f t="shared" si="302"/>
        <v>6452.75</v>
      </c>
      <c r="SR60" s="90">
        <f t="shared" si="303"/>
        <v>4.3793441683969352</v>
      </c>
      <c r="SS60" s="90">
        <f t="shared" si="304"/>
        <v>4.6199971361065364</v>
      </c>
      <c r="ST60" s="90">
        <f t="shared" si="305"/>
        <v>6459.3690000000006</v>
      </c>
      <c r="SU60" s="90">
        <v>4.3803536908427008</v>
      </c>
      <c r="SV60" s="90">
        <f t="shared" si="306"/>
        <v>4.62</v>
      </c>
      <c r="SW60" s="90">
        <v>4.62</v>
      </c>
      <c r="SX60" s="90">
        <f t="shared" si="307"/>
        <v>6452.75</v>
      </c>
      <c r="SY60" s="90">
        <v>4.3804324479129377</v>
      </c>
      <c r="SZ60" s="90">
        <f t="shared" si="308"/>
        <v>6118.1500000000005</v>
      </c>
      <c r="TA60" s="90">
        <f t="shared" si="309"/>
        <v>1.5200000000004366</v>
      </c>
      <c r="TB60" s="90">
        <v>0</v>
      </c>
      <c r="TC60" s="90">
        <f t="shared" si="310"/>
        <v>6046.6444500000025</v>
      </c>
      <c r="TD60" s="90" t="e">
        <f>#REF!+#REF!</f>
        <v>#REF!</v>
      </c>
      <c r="TE60" s="90" t="e">
        <f t="shared" si="311"/>
        <v>#REF!</v>
      </c>
      <c r="TF60" s="90">
        <v>6065.9794500000016</v>
      </c>
      <c r="TG60" s="90">
        <f t="shared" si="312"/>
        <v>29.733766336584601</v>
      </c>
      <c r="TH60" s="95"/>
      <c r="TI60" s="95"/>
      <c r="TJ60" s="95"/>
      <c r="TK60" s="95"/>
      <c r="TL60" s="95"/>
      <c r="TM60" s="95">
        <f t="shared" si="313"/>
        <v>0</v>
      </c>
      <c r="TN60" s="95">
        <f t="shared" si="314"/>
        <v>20335.952000000001</v>
      </c>
      <c r="TO60" s="95">
        <f t="shared" si="315"/>
        <v>29.733766336584601</v>
      </c>
      <c r="TP60" s="95"/>
      <c r="TQ60" s="95">
        <f t="shared" si="316"/>
        <v>14.56</v>
      </c>
      <c r="TR60" s="95"/>
      <c r="TS60" s="95"/>
      <c r="TT60" s="95"/>
      <c r="TU60" s="95"/>
      <c r="TV60" s="95"/>
      <c r="TW60" s="95"/>
      <c r="TX60" s="95"/>
      <c r="TY60" s="95"/>
      <c r="TZ60" s="95">
        <f t="shared" si="317"/>
        <v>3.0666208791208787</v>
      </c>
      <c r="UA60" s="95">
        <f t="shared" si="318"/>
        <v>0.6406400000000001</v>
      </c>
      <c r="UB60" s="90">
        <v>0</v>
      </c>
      <c r="UC60" s="90">
        <f t="shared" si="319"/>
        <v>0</v>
      </c>
      <c r="UD60" s="90">
        <f t="shared" si="320"/>
        <v>0</v>
      </c>
      <c r="UE60" s="90">
        <f t="shared" si="321"/>
        <v>0</v>
      </c>
      <c r="UF60" s="90">
        <f t="shared" si="322"/>
        <v>20335.952000000001</v>
      </c>
      <c r="UG60" s="91">
        <f t="shared" si="323"/>
        <v>0</v>
      </c>
      <c r="UH60" s="95">
        <f t="shared" si="324"/>
        <v>29.733766336584601</v>
      </c>
      <c r="UI60" s="95">
        <f t="shared" si="325"/>
        <v>20335.952000000001</v>
      </c>
      <c r="UJ60" s="101">
        <f t="shared" si="326"/>
        <v>0</v>
      </c>
      <c r="UK60" s="101">
        <f t="shared" si="327"/>
        <v>29.733766336584601</v>
      </c>
      <c r="UL60" s="90" t="e">
        <f>(#REF!+#REF!+HZ60+LT60+LZ60+MF60+ML60+QL60+QN60+SN60+TC60+TM60+UC60)/I60</f>
        <v>#REF!</v>
      </c>
      <c r="UN60" s="90" t="e">
        <f>#REF!/I60</f>
        <v>#REF!</v>
      </c>
      <c r="UO60" s="90" t="e">
        <f>#REF!/I60</f>
        <v>#REF!</v>
      </c>
      <c r="UP60" s="90">
        <v>1.1499999999999999</v>
      </c>
      <c r="UQ60" s="90" t="e">
        <f t="shared" si="328"/>
        <v>#REF!</v>
      </c>
      <c r="UR60" s="90">
        <f t="shared" si="329"/>
        <v>15589.494999999999</v>
      </c>
      <c r="US60" s="90">
        <f t="shared" si="330"/>
        <v>20610.669999999998</v>
      </c>
      <c r="UT60" s="90">
        <f t="shared" si="331"/>
        <v>20610.669999999998</v>
      </c>
      <c r="UU60" s="90">
        <f t="shared" si="623"/>
        <v>21253.149999999998</v>
      </c>
      <c r="UV60" s="90">
        <f t="shared" si="333"/>
        <v>21041.019999999997</v>
      </c>
      <c r="UW60" s="90">
        <f t="shared" si="334"/>
        <v>6.47</v>
      </c>
      <c r="UX60" s="90">
        <f t="shared" si="335"/>
        <v>4.62</v>
      </c>
      <c r="UY60" s="90">
        <f t="shared" si="336"/>
        <v>4.4345600343667222</v>
      </c>
      <c r="UZ60" s="100">
        <f t="shared" si="337"/>
        <v>4.3804299848900001</v>
      </c>
      <c r="VA60" s="90">
        <f t="shared" si="338"/>
        <v>0.59</v>
      </c>
      <c r="VB60" s="90">
        <f t="shared" si="339"/>
        <v>1.26</v>
      </c>
      <c r="VC60" s="90">
        <f t="shared" si="340"/>
        <v>0</v>
      </c>
      <c r="VD60" s="90">
        <f t="shared" si="341"/>
        <v>0</v>
      </c>
      <c r="VE60" s="90">
        <f t="shared" si="342"/>
        <v>0</v>
      </c>
      <c r="VF60" s="90">
        <f t="shared" si="343"/>
        <v>0</v>
      </c>
      <c r="VG60" s="90">
        <f t="shared" si="344"/>
        <v>0</v>
      </c>
      <c r="VH60" s="90">
        <f t="shared" si="345"/>
        <v>0</v>
      </c>
      <c r="VI60" s="90">
        <f t="shared" si="346"/>
        <v>0</v>
      </c>
      <c r="VJ60" s="90">
        <f t="shared" si="347"/>
        <v>0</v>
      </c>
      <c r="VK60" s="90">
        <f t="shared" si="348"/>
        <v>1.06</v>
      </c>
      <c r="VL60" s="90">
        <f t="shared" si="349"/>
        <v>4.09</v>
      </c>
      <c r="VM60" s="90">
        <f t="shared" si="350"/>
        <v>4.34</v>
      </c>
      <c r="VN60" s="90">
        <f t="shared" si="351"/>
        <v>0</v>
      </c>
      <c r="VO60" s="90">
        <f t="shared" si="352"/>
        <v>4.34</v>
      </c>
      <c r="VP60" s="97">
        <v>0</v>
      </c>
      <c r="VQ60" s="97">
        <v>4.34</v>
      </c>
      <c r="VR60" s="90">
        <f t="shared" si="353"/>
        <v>0.45</v>
      </c>
      <c r="VS60" s="90">
        <f t="shared" si="354"/>
        <v>0.15</v>
      </c>
      <c r="VT60" s="90">
        <v>0.11989898989898991</v>
      </c>
      <c r="VU60" s="90">
        <f t="shared" si="355"/>
        <v>0.155</v>
      </c>
      <c r="VV60" s="90">
        <v>0.38175323599898991</v>
      </c>
      <c r="VW60" s="90">
        <f t="shared" si="356"/>
        <v>0.6</v>
      </c>
      <c r="VX60" s="90">
        <f t="shared" si="357"/>
        <v>15.499999999999998</v>
      </c>
      <c r="VY60" s="90">
        <f t="shared" si="358"/>
        <v>15.499999999999998</v>
      </c>
      <c r="VZ60" s="90">
        <f t="shared" si="359"/>
        <v>0</v>
      </c>
      <c r="WA60" s="90"/>
      <c r="WB60" s="90">
        <f t="shared" si="360"/>
        <v>15.499999999999998</v>
      </c>
      <c r="WC60" s="90">
        <f t="shared" si="361"/>
        <v>0</v>
      </c>
      <c r="WD60" s="90"/>
      <c r="WE60" s="90">
        <v>15.499999999999998</v>
      </c>
      <c r="WF60" s="90"/>
      <c r="WG60" s="90">
        <f t="shared" si="362"/>
        <v>21648.85</v>
      </c>
      <c r="WH60" s="90">
        <f t="shared" si="363"/>
        <v>21648.85</v>
      </c>
      <c r="WI60" s="90">
        <f t="shared" si="364"/>
        <v>21651.175000000003</v>
      </c>
      <c r="WJ60" s="90">
        <f t="shared" si="365"/>
        <v>15589.494999999999</v>
      </c>
      <c r="WK60" s="97">
        <v>6067.75</v>
      </c>
      <c r="WL60" s="97">
        <v>4.34</v>
      </c>
      <c r="WM60" s="90">
        <f t="shared" si="366"/>
        <v>6061.68</v>
      </c>
      <c r="WN60" s="90">
        <f t="shared" si="367"/>
        <v>4.34</v>
      </c>
      <c r="WO60" s="90"/>
      <c r="WP60" s="97">
        <v>15.499999999999998</v>
      </c>
      <c r="WQ60" s="90">
        <f t="shared" si="368"/>
        <v>15.499999999999998</v>
      </c>
      <c r="WR60" s="91">
        <f t="shared" si="369"/>
        <v>106.45604395604393</v>
      </c>
      <c r="WS60" s="91">
        <f t="shared" si="370"/>
        <v>106.45604395604393</v>
      </c>
      <c r="WT60" s="90">
        <f t="shared" si="371"/>
        <v>21648.85</v>
      </c>
      <c r="WU60" s="90">
        <f t="shared" si="372"/>
        <v>21651.175000000003</v>
      </c>
      <c r="WV60" s="90">
        <f t="shared" si="373"/>
        <v>-2.3250000000043656</v>
      </c>
      <c r="WW60" s="90"/>
      <c r="WX60" s="90"/>
      <c r="WY60" s="90"/>
      <c r="WZ60" s="90">
        <f t="shared" si="374"/>
        <v>4.2128454545454543</v>
      </c>
      <c r="XA60" s="90">
        <v>0</v>
      </c>
      <c r="XB60" s="90">
        <f t="shared" si="375"/>
        <v>4.2128454545454543</v>
      </c>
      <c r="XC60" s="90">
        <f t="shared" si="376"/>
        <v>0.4617</v>
      </c>
      <c r="XD60" s="90">
        <f t="shared" si="377"/>
        <v>0.15545454545454546</v>
      </c>
      <c r="XE60" s="90"/>
      <c r="XF60" s="90">
        <f t="shared" si="378"/>
        <v>15.39</v>
      </c>
      <c r="XG60" s="90">
        <v>4.3446079321936928</v>
      </c>
      <c r="XH60" s="20">
        <v>14.56</v>
      </c>
      <c r="XI60" s="20">
        <v>0</v>
      </c>
      <c r="XJ60" s="20"/>
      <c r="XK60" s="20"/>
      <c r="XL60" s="20"/>
      <c r="XM60" s="20">
        <f t="shared" si="620"/>
        <v>14.56</v>
      </c>
      <c r="XN60" s="91">
        <f t="shared" si="380"/>
        <v>106.45604395604393</v>
      </c>
      <c r="XO60" s="20">
        <f t="shared" si="381"/>
        <v>14.56</v>
      </c>
      <c r="XP60" s="90">
        <f t="shared" si="621"/>
        <v>14.56</v>
      </c>
      <c r="XQ60" s="91">
        <f t="shared" si="383"/>
        <v>106.45604395604393</v>
      </c>
      <c r="XR60" s="102"/>
      <c r="XS60" s="90">
        <f t="shared" si="384"/>
        <v>4.09</v>
      </c>
      <c r="XT60" s="90">
        <f t="shared" si="385"/>
        <v>6.47</v>
      </c>
      <c r="XU60" s="90">
        <f t="shared" si="386"/>
        <v>4.62</v>
      </c>
      <c r="XV60" s="90">
        <f t="shared" si="387"/>
        <v>0.59</v>
      </c>
      <c r="XW60" s="90">
        <f t="shared" si="388"/>
        <v>0.59</v>
      </c>
      <c r="XX60" s="90">
        <f t="shared" si="389"/>
        <v>0</v>
      </c>
      <c r="XY60" s="90">
        <f t="shared" si="390"/>
        <v>1.26</v>
      </c>
      <c r="XZ60" s="90">
        <f t="shared" si="391"/>
        <v>0</v>
      </c>
      <c r="YA60" s="90">
        <f t="shared" si="392"/>
        <v>0</v>
      </c>
      <c r="YB60" s="90">
        <f t="shared" si="552"/>
        <v>0</v>
      </c>
      <c r="YC60" s="90">
        <f t="shared" si="552"/>
        <v>0</v>
      </c>
      <c r="YD60" s="90">
        <f t="shared" si="394"/>
        <v>1.26</v>
      </c>
      <c r="YE60" s="90">
        <f t="shared" si="395"/>
        <v>4.34</v>
      </c>
      <c r="YF60" s="90">
        <f t="shared" si="396"/>
        <v>0.6</v>
      </c>
      <c r="YG60" s="90">
        <f t="shared" si="397"/>
        <v>15.499999999999998</v>
      </c>
      <c r="YI60" s="103" t="s">
        <v>572</v>
      </c>
      <c r="YK60" s="90">
        <f t="shared" si="398"/>
        <v>1.07</v>
      </c>
      <c r="YL60" s="90">
        <f t="shared" si="553"/>
        <v>0.59</v>
      </c>
      <c r="YM60" s="90">
        <f t="shared" si="553"/>
        <v>1.26</v>
      </c>
      <c r="YN60" s="90">
        <f t="shared" si="400"/>
        <v>4.09</v>
      </c>
      <c r="YO60" s="90">
        <f t="shared" si="401"/>
        <v>8.49</v>
      </c>
      <c r="YP60" s="90">
        <f t="shared" si="402"/>
        <v>0</v>
      </c>
      <c r="YQ60" s="90">
        <f t="shared" si="403"/>
        <v>15.499999999999998</v>
      </c>
      <c r="YR60" s="90">
        <f t="shared" si="404"/>
        <v>0</v>
      </c>
      <c r="YS60" s="104">
        <f t="shared" si="405"/>
        <v>15.5</v>
      </c>
      <c r="YT60" s="104">
        <f t="shared" si="406"/>
        <v>0</v>
      </c>
      <c r="YY60" s="90">
        <f t="shared" si="407"/>
        <v>9.2800000000000011</v>
      </c>
      <c r="YZ60" s="90">
        <f t="shared" si="408"/>
        <v>4.9800000000000004</v>
      </c>
      <c r="ZA60" s="90">
        <f t="shared" si="409"/>
        <v>0.62</v>
      </c>
      <c r="ZB60" s="90">
        <f t="shared" si="410"/>
        <v>2.88</v>
      </c>
      <c r="ZC60" s="90">
        <f t="shared" si="411"/>
        <v>0.8</v>
      </c>
      <c r="ZD60" s="90">
        <f t="shared" si="412"/>
        <v>0</v>
      </c>
      <c r="ZE60" s="90">
        <f t="shared" si="413"/>
        <v>0</v>
      </c>
      <c r="ZF60" s="90">
        <f t="shared" si="414"/>
        <v>0</v>
      </c>
      <c r="ZG60" s="90">
        <f t="shared" si="415"/>
        <v>0</v>
      </c>
      <c r="ZH60" s="90">
        <f t="shared" si="416"/>
        <v>0</v>
      </c>
      <c r="ZI60" s="90">
        <f t="shared" si="417"/>
        <v>0</v>
      </c>
      <c r="ZJ60" s="90">
        <f t="shared" si="418"/>
        <v>0</v>
      </c>
      <c r="ZK60" s="90">
        <f t="shared" si="419"/>
        <v>0</v>
      </c>
      <c r="ZL60" s="90">
        <f t="shared" si="420"/>
        <v>0</v>
      </c>
      <c r="ZM60" s="90">
        <f t="shared" si="421"/>
        <v>4.6100000000000003</v>
      </c>
      <c r="ZN60" s="90">
        <f t="shared" si="422"/>
        <v>9.7899999999999991</v>
      </c>
      <c r="ZO60" s="90">
        <f t="shared" si="423"/>
        <v>5.6</v>
      </c>
      <c r="ZP60" s="90">
        <f t="shared" si="424"/>
        <v>6.91</v>
      </c>
      <c r="ZQ60" s="90">
        <f t="shared" si="425"/>
        <v>0</v>
      </c>
      <c r="ZR60" s="90">
        <f t="shared" si="426"/>
        <v>6.91</v>
      </c>
      <c r="ZS60" s="97">
        <v>227</v>
      </c>
      <c r="ZT60" s="97">
        <v>230.38</v>
      </c>
      <c r="ZU60" s="90">
        <f t="shared" si="427"/>
        <v>0.65</v>
      </c>
      <c r="ZV60" s="90">
        <f t="shared" si="428"/>
        <v>0.22</v>
      </c>
      <c r="ZW60" s="90">
        <v>0.11989898989898991</v>
      </c>
      <c r="ZX60" s="90">
        <f t="shared" si="429"/>
        <v>0.21670000000000003</v>
      </c>
      <c r="ZY60" s="90">
        <v>0.38175323599898991</v>
      </c>
      <c r="ZZ60" s="90">
        <f t="shared" si="430"/>
        <v>0.87</v>
      </c>
      <c r="AAA60" s="90">
        <f t="shared" si="431"/>
        <v>21.67</v>
      </c>
      <c r="AAB60" s="90">
        <f t="shared" si="432"/>
        <v>21.67</v>
      </c>
      <c r="AAC60" s="90">
        <f t="shared" si="433"/>
        <v>0</v>
      </c>
      <c r="AAD60" s="90"/>
      <c r="AAE60" s="90">
        <f t="shared" si="434"/>
        <v>21.67</v>
      </c>
      <c r="AAF60" s="90">
        <v>15.499999999999998</v>
      </c>
      <c r="AAG60" s="90">
        <f t="shared" si="435"/>
        <v>139.80645161290326</v>
      </c>
      <c r="AAH60" s="90">
        <f t="shared" si="436"/>
        <v>0</v>
      </c>
      <c r="AAI60" s="90">
        <v>0</v>
      </c>
      <c r="AAJ60" s="90"/>
      <c r="AAK60" s="1">
        <v>18.64</v>
      </c>
      <c r="AAL60" s="104">
        <f t="shared" si="437"/>
        <v>3.0300000000000011</v>
      </c>
      <c r="AAM60" s="103" t="s">
        <v>545</v>
      </c>
      <c r="AAN60" s="105">
        <v>9.18</v>
      </c>
      <c r="AAO60" s="90">
        <f t="shared" si="438"/>
        <v>10.050000000000001</v>
      </c>
      <c r="AAP60" s="90">
        <v>4.97</v>
      </c>
      <c r="AAQ60" s="90">
        <f t="shared" si="439"/>
        <v>4.9800000000000004</v>
      </c>
      <c r="AAR60" s="90">
        <v>0.62</v>
      </c>
      <c r="AAS60" s="90">
        <f t="shared" si="440"/>
        <v>0.93</v>
      </c>
      <c r="AAT60" s="90">
        <f t="shared" si="441"/>
        <v>150</v>
      </c>
      <c r="AAU60" s="90">
        <v>2.79</v>
      </c>
      <c r="AAV60" s="90">
        <f t="shared" si="442"/>
        <v>2.88</v>
      </c>
      <c r="AAW60" s="90">
        <f t="shared" si="443"/>
        <v>103.2258064516129</v>
      </c>
      <c r="AAX60" s="90">
        <f t="shared" si="444"/>
        <v>0.46</v>
      </c>
      <c r="AAY60" s="90">
        <f t="shared" si="445"/>
        <v>0.8</v>
      </c>
      <c r="AAZ60" s="90">
        <f t="shared" si="446"/>
        <v>0</v>
      </c>
      <c r="ABA60" s="90">
        <f t="shared" si="447"/>
        <v>0</v>
      </c>
      <c r="ABB60" s="90">
        <f t="shared" si="448"/>
        <v>0</v>
      </c>
      <c r="ABC60" s="90">
        <v>0</v>
      </c>
      <c r="ABD60" s="90">
        <f t="shared" si="449"/>
        <v>0</v>
      </c>
      <c r="ABE60" s="90"/>
      <c r="ABF60" s="90">
        <v>0</v>
      </c>
      <c r="ABG60" s="90">
        <f t="shared" si="450"/>
        <v>0</v>
      </c>
      <c r="ABH60" s="90"/>
      <c r="ABI60" s="90">
        <f t="shared" si="451"/>
        <v>0</v>
      </c>
      <c r="ABJ60" s="90">
        <f t="shared" si="452"/>
        <v>0</v>
      </c>
      <c r="ABK60" s="90">
        <v>0</v>
      </c>
      <c r="ABL60" s="90">
        <f t="shared" si="453"/>
        <v>0</v>
      </c>
      <c r="ABM60" s="90">
        <f t="shared" si="454"/>
        <v>0</v>
      </c>
      <c r="ABN60" s="90">
        <f t="shared" si="455"/>
        <v>0</v>
      </c>
      <c r="ABO60" s="90">
        <v>4.3899999999999997</v>
      </c>
      <c r="ABP60" s="90">
        <f t="shared" si="456"/>
        <v>4.6100000000000003</v>
      </c>
      <c r="ABQ60" s="90">
        <f t="shared" si="457"/>
        <v>105.01138952164011</v>
      </c>
      <c r="ABR60" s="90">
        <f t="shared" si="458"/>
        <v>9.7899999999999991</v>
      </c>
      <c r="ABS60" s="90">
        <f t="shared" si="459"/>
        <v>5.6</v>
      </c>
      <c r="ABT60" s="90">
        <v>4.34</v>
      </c>
      <c r="ABU60" s="90">
        <f t="shared" si="460"/>
        <v>6.91</v>
      </c>
      <c r="ABV60" s="90">
        <f t="shared" si="461"/>
        <v>159.21658986175115</v>
      </c>
      <c r="ABW60" s="90">
        <f t="shared" si="462"/>
        <v>0</v>
      </c>
      <c r="ABX60" s="90">
        <f t="shared" si="463"/>
        <v>6.91</v>
      </c>
      <c r="ABY60" s="97">
        <v>227</v>
      </c>
      <c r="ABZ60" s="97">
        <v>230.38</v>
      </c>
      <c r="ACA60" s="90">
        <f t="shared" si="464"/>
        <v>0.65</v>
      </c>
      <c r="ACB60" s="90">
        <f t="shared" si="465"/>
        <v>0.22</v>
      </c>
      <c r="ACC60" s="90">
        <v>0.11989898989898991</v>
      </c>
      <c r="ACD60" s="90">
        <f t="shared" si="466"/>
        <v>0.2198</v>
      </c>
      <c r="ACE60" s="90">
        <v>0.38175323599898991</v>
      </c>
      <c r="ACF60" s="90">
        <v>0.73</v>
      </c>
      <c r="ACG60" s="90">
        <f t="shared" si="467"/>
        <v>0.87</v>
      </c>
      <c r="ACH60" s="90">
        <f t="shared" si="468"/>
        <v>119.17808219178083</v>
      </c>
      <c r="ACI60" s="90">
        <f t="shared" si="469"/>
        <v>22.44</v>
      </c>
      <c r="ACJ60" s="90">
        <f t="shared" si="470"/>
        <v>21.98</v>
      </c>
      <c r="ACK60" s="90">
        <f t="shared" si="471"/>
        <v>-0.46000000000000085</v>
      </c>
      <c r="ACL60" s="90"/>
      <c r="ACM60" s="90">
        <f t="shared" si="472"/>
        <v>22.44</v>
      </c>
      <c r="ACN60" s="90">
        <f t="shared" si="473"/>
        <v>0</v>
      </c>
      <c r="ACO60" s="90">
        <f t="shared" si="474"/>
        <v>22.44</v>
      </c>
      <c r="ACP60" s="90">
        <v>18.64</v>
      </c>
      <c r="ACQ60" s="90">
        <f t="shared" si="475"/>
        <v>120.38626609442061</v>
      </c>
      <c r="ACR60" s="90">
        <f t="shared" si="476"/>
        <v>0</v>
      </c>
      <c r="ACS60" s="90">
        <v>0</v>
      </c>
      <c r="ACT60" s="90"/>
      <c r="ACU60" s="90">
        <f t="shared" si="477"/>
        <v>19.59064</v>
      </c>
      <c r="ACV60" s="90">
        <f t="shared" si="478"/>
        <v>-2.8493600000000008</v>
      </c>
      <c r="ACX60" s="106" t="s">
        <v>555</v>
      </c>
      <c r="ACY60" s="107">
        <v>12500</v>
      </c>
      <c r="ACZ60" s="107"/>
      <c r="ADB60" s="90">
        <f t="shared" si="479"/>
        <v>4.6100000000000003</v>
      </c>
      <c r="ADC60" s="90">
        <f t="shared" si="480"/>
        <v>10.050000000000001</v>
      </c>
      <c r="ADD60" s="90">
        <f t="shared" si="481"/>
        <v>4.9800000000000004</v>
      </c>
      <c r="ADE60" s="90">
        <f t="shared" si="624"/>
        <v>2.1900000000000004</v>
      </c>
      <c r="ADF60" s="90">
        <f t="shared" si="483"/>
        <v>0.93</v>
      </c>
      <c r="ADG60" s="90">
        <f t="shared" si="554"/>
        <v>0.46</v>
      </c>
      <c r="ADH60" s="90">
        <f t="shared" si="554"/>
        <v>0.8</v>
      </c>
      <c r="ADI60" s="90">
        <f t="shared" si="554"/>
        <v>0</v>
      </c>
      <c r="ADJ60" s="90">
        <f t="shared" si="485"/>
        <v>2.88</v>
      </c>
      <c r="ADK60" s="90">
        <f t="shared" si="486"/>
        <v>0</v>
      </c>
      <c r="ADL60" s="90">
        <f t="shared" si="487"/>
        <v>0</v>
      </c>
      <c r="ADM60" s="90">
        <f t="shared" si="555"/>
        <v>0</v>
      </c>
      <c r="ADN60" s="90">
        <f t="shared" si="555"/>
        <v>0</v>
      </c>
      <c r="ADO60" s="90">
        <f t="shared" si="489"/>
        <v>2.88</v>
      </c>
      <c r="ADP60" s="90">
        <f t="shared" si="490"/>
        <v>6.91</v>
      </c>
      <c r="ADQ60" s="90">
        <f t="shared" si="491"/>
        <v>0.87</v>
      </c>
      <c r="ADR60" s="90">
        <f t="shared" si="492"/>
        <v>22.44</v>
      </c>
      <c r="ADU60" s="90">
        <f t="shared" si="493"/>
        <v>1.1499999999999999</v>
      </c>
      <c r="ADV60" s="90">
        <f t="shared" si="494"/>
        <v>0.93</v>
      </c>
      <c r="ADW60" s="90">
        <f t="shared" si="495"/>
        <v>2.88</v>
      </c>
      <c r="ADX60" s="90">
        <f t="shared" si="496"/>
        <v>4.6100000000000003</v>
      </c>
      <c r="ADY60" s="90">
        <f t="shared" si="497"/>
        <v>12.41</v>
      </c>
      <c r="ADZ60" s="90">
        <f t="shared" si="498"/>
        <v>0</v>
      </c>
      <c r="AEA60" s="90">
        <f t="shared" si="499"/>
        <v>22.44</v>
      </c>
      <c r="AEB60" s="90">
        <f t="shared" si="500"/>
        <v>0</v>
      </c>
      <c r="AEC60" s="104">
        <f t="shared" si="501"/>
        <v>21.98</v>
      </c>
      <c r="AED60" s="104">
        <f t="shared" si="502"/>
        <v>0.46000000000000085</v>
      </c>
      <c r="AEG60" s="1">
        <v>9.18</v>
      </c>
      <c r="AEH60" s="1">
        <v>4.97</v>
      </c>
      <c r="AEI60" s="1">
        <v>0.62</v>
      </c>
      <c r="AEJ60" s="1">
        <v>2.79</v>
      </c>
      <c r="AEK60" s="1">
        <v>0</v>
      </c>
      <c r="AEL60" s="1">
        <v>0.8</v>
      </c>
      <c r="AEM60" s="1">
        <v>0</v>
      </c>
      <c r="AEN60" s="1">
        <v>0</v>
      </c>
      <c r="AEO60" s="1">
        <v>0</v>
      </c>
      <c r="AEP60" s="1">
        <v>0</v>
      </c>
      <c r="AEQ60" s="1">
        <v>0</v>
      </c>
      <c r="AER60" s="1">
        <v>0</v>
      </c>
      <c r="AES60" s="1">
        <v>0</v>
      </c>
      <c r="AET60" s="1">
        <v>0</v>
      </c>
      <c r="AEU60" s="1">
        <v>0</v>
      </c>
      <c r="AEV60" s="1">
        <v>0</v>
      </c>
      <c r="AEW60" s="1">
        <v>4.3899999999999997</v>
      </c>
      <c r="AEX60" s="1">
        <v>7.13</v>
      </c>
      <c r="AEY60" s="1">
        <v>5.6</v>
      </c>
      <c r="AEZ60" s="1">
        <v>4.34</v>
      </c>
      <c r="AFA60" s="1">
        <v>0</v>
      </c>
      <c r="AFB60" s="1">
        <v>4.34</v>
      </c>
      <c r="AFC60" s="1">
        <v>227</v>
      </c>
      <c r="AFD60" s="1">
        <v>230.38</v>
      </c>
      <c r="AFE60" s="1">
        <v>0.54</v>
      </c>
      <c r="AFF60" s="1">
        <v>0.19</v>
      </c>
      <c r="AFG60" s="1">
        <v>0.11989898989898991</v>
      </c>
      <c r="AFH60" s="1">
        <v>0.18640000000000001</v>
      </c>
      <c r="AFI60" s="1">
        <v>0.38175323599898991</v>
      </c>
      <c r="AFJ60" s="1">
        <v>0.73</v>
      </c>
      <c r="AFK60" s="1">
        <v>18.64</v>
      </c>
      <c r="AFL60" s="1">
        <v>18.64</v>
      </c>
      <c r="AFM60" s="1">
        <v>0</v>
      </c>
      <c r="AFO60" s="1">
        <v>18.64</v>
      </c>
      <c r="AFP60" s="1">
        <v>0</v>
      </c>
      <c r="AFQ60" s="1">
        <v>18.64</v>
      </c>
      <c r="AFX60" s="1">
        <v>23.29</v>
      </c>
    </row>
  </sheetData>
  <mergeCells count="121">
    <mergeCell ref="AAJ5:AAJ7"/>
    <mergeCell ref="ZM6:ZM7"/>
    <mergeCell ref="ZN6:ZN7"/>
    <mergeCell ref="ZO6:ZO7"/>
    <mergeCell ref="ZP6:ZP7"/>
    <mergeCell ref="AAO3:ACI3"/>
    <mergeCell ref="ADB3:ADR3"/>
    <mergeCell ref="A5:A7"/>
    <mergeCell ref="C5:C7"/>
    <mergeCell ref="UW5:VX5"/>
    <mergeCell ref="WZ5:XF5"/>
    <mergeCell ref="XG5:XM5"/>
    <mergeCell ref="XS5:XS7"/>
    <mergeCell ref="XT5:XT7"/>
    <mergeCell ref="XU5:YD5"/>
    <mergeCell ref="ADD5:ADO5"/>
    <mergeCell ref="ADP5:ADP7"/>
    <mergeCell ref="ADQ5:ADQ7"/>
    <mergeCell ref="ADR5:ADR7"/>
    <mergeCell ref="B6:B7"/>
    <mergeCell ref="D6:D7"/>
    <mergeCell ref="E6:E7"/>
    <mergeCell ref="F6:F7"/>
    <mergeCell ref="G6:G7"/>
    <mergeCell ref="I6:I7"/>
    <mergeCell ref="AAO5:ACG5"/>
    <mergeCell ref="ACQ5:ACQ7"/>
    <mergeCell ref="ACT5:ACT7"/>
    <mergeCell ref="ACX5:ACX7"/>
    <mergeCell ref="ADB5:ADB7"/>
    <mergeCell ref="ADC5:ADC7"/>
    <mergeCell ref="ABP6:ABP7"/>
    <mergeCell ref="ABQ6:ABQ7"/>
    <mergeCell ref="ABR6:ABR7"/>
    <mergeCell ref="ABS6:ABS7"/>
    <mergeCell ref="YE5:YE7"/>
    <mergeCell ref="YF5:YF7"/>
    <mergeCell ref="YG5:YG7"/>
    <mergeCell ref="YY5:AAA5"/>
    <mergeCell ref="VL6:VL7"/>
    <mergeCell ref="VM6:VM7"/>
    <mergeCell ref="VN6:VN7"/>
    <mergeCell ref="VO6:VO7"/>
    <mergeCell ref="VR6:VR7"/>
    <mergeCell ref="VS6:VS7"/>
    <mergeCell ref="J6:J7"/>
    <mergeCell ref="K6:K7"/>
    <mergeCell ref="S6:S7"/>
    <mergeCell ref="UW6:UW7"/>
    <mergeCell ref="UX6:VJ6"/>
    <mergeCell ref="VK6:VK7"/>
    <mergeCell ref="WE6:WE7"/>
    <mergeCell ref="WP6:WP7"/>
    <mergeCell ref="WQ6:WQ7"/>
    <mergeCell ref="WR6:WR7"/>
    <mergeCell ref="WS6:WS7"/>
    <mergeCell ref="WT6:WT7"/>
    <mergeCell ref="VW6:VW7"/>
    <mergeCell ref="VX6:VX7"/>
    <mergeCell ref="VY6:VY7"/>
    <mergeCell ref="WA6:WA7"/>
    <mergeCell ref="WB6:WB7"/>
    <mergeCell ref="WC6:WC7"/>
    <mergeCell ref="XW6:XX6"/>
    <mergeCell ref="XY6:XY7"/>
    <mergeCell ref="XZ6:YD6"/>
    <mergeCell ref="YY6:YY7"/>
    <mergeCell ref="YZ6:ZK6"/>
    <mergeCell ref="ZL6:ZL7"/>
    <mergeCell ref="WZ6:XB6"/>
    <mergeCell ref="XF6:XF7"/>
    <mergeCell ref="XG6:XG7"/>
    <mergeCell ref="XM6:XM7"/>
    <mergeCell ref="XU6:XU7"/>
    <mergeCell ref="XV6:XV7"/>
    <mergeCell ref="AAB6:AAB7"/>
    <mergeCell ref="AAD6:AAD7"/>
    <mergeCell ref="AAE6:AAE7"/>
    <mergeCell ref="AAF6:AAF7"/>
    <mergeCell ref="AAG6:AAG7"/>
    <mergeCell ref="AAI6:AAI7"/>
    <mergeCell ref="ZQ6:ZQ7"/>
    <mergeCell ref="ZR6:ZR7"/>
    <mergeCell ref="ZU6:ZU7"/>
    <mergeCell ref="ZV6:ZV7"/>
    <mergeCell ref="ZZ6:ZZ7"/>
    <mergeCell ref="AAA6:AAA7"/>
    <mergeCell ref="AAH5:AAH7"/>
    <mergeCell ref="ABT6:ABT7"/>
    <mergeCell ref="ABU6:ABU7"/>
    <mergeCell ref="ABV6:ABV7"/>
    <mergeCell ref="ABW6:ABW7"/>
    <mergeCell ref="ABX6:ABX7"/>
    <mergeCell ref="ACA6:ACA7"/>
    <mergeCell ref="AAM6:AAM7"/>
    <mergeCell ref="AAN6:AAN7"/>
    <mergeCell ref="AAO6:AAO7"/>
    <mergeCell ref="AAP6:ABL6"/>
    <mergeCell ref="ABN6:ABN7"/>
    <mergeCell ref="ABO6:ABO7"/>
    <mergeCell ref="ACL6:ACL7"/>
    <mergeCell ref="ACM6:ACM7"/>
    <mergeCell ref="ACN6:ACN7"/>
    <mergeCell ref="ACO6:ACO7"/>
    <mergeCell ref="ACP6:ACP7"/>
    <mergeCell ref="ACR6:ACR7"/>
    <mergeCell ref="ACB6:ACB7"/>
    <mergeCell ref="ACF6:ACF7"/>
    <mergeCell ref="ACG6:ACG7"/>
    <mergeCell ref="ACH6:ACH7"/>
    <mergeCell ref="ACI6:ACI7"/>
    <mergeCell ref="ACJ6:ACJ7"/>
    <mergeCell ref="ADF6:ADI6"/>
    <mergeCell ref="ADJ6:ADJ7"/>
    <mergeCell ref="ADK6:ADO6"/>
    <mergeCell ref="ACS6:ACS7"/>
    <mergeCell ref="ACU6:ACU7"/>
    <mergeCell ref="ACV6:ACV7"/>
    <mergeCell ref="ACY6:ACY7"/>
    <mergeCell ref="ADD6:ADD7"/>
    <mergeCell ref="ADE6:ADE7"/>
  </mergeCells>
  <pageMargins left="0" right="0" top="0.19685039370078741" bottom="0.19685039370078741" header="0.51181102362204722" footer="0.51181102362204722"/>
  <pageSetup paperSize="9" scale="45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 Небыловское блок.заст</vt:lpstr>
      <vt:lpstr>МО Небыловское</vt:lpstr>
    </vt:vector>
  </TitlesOfParts>
  <Company>ООО "Управляющая компания №1"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Опарина Елена Владимировна</dc:creator>
  <cp:lastModifiedBy>nebiloe</cp:lastModifiedBy>
  <cp:lastPrinted>2016-11-30T05:06:27Z</cp:lastPrinted>
  <dcterms:created xsi:type="dcterms:W3CDTF">2016-11-30T02:58:17Z</dcterms:created>
  <dcterms:modified xsi:type="dcterms:W3CDTF">2016-11-30T05:07:38Z</dcterms:modified>
</cp:coreProperties>
</file>